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600" activeTab="1"/>
  </bookViews>
  <sheets>
    <sheet name="Sheet1" sheetId="1" r:id="rId1"/>
    <sheet name="Sheet4" sheetId="2" r:id="rId2"/>
    <sheet name="Sheet2" sheetId="3" r:id="rId3"/>
    <sheet name="Sheet3" sheetId="4" r:id="rId4"/>
  </sheets>
  <definedNames>
    <definedName name="alpha">'Sheet3'!$O$5</definedName>
    <definedName name="amax">'Sheet3'!$O$10</definedName>
    <definedName name="chute">'Sheet1'!$E$19</definedName>
    <definedName name="deltat">'Sheet3'!$O$11</definedName>
    <definedName name="fpspmph">'Sheet1'!$E$16</definedName>
    <definedName name="fpspmph2">'Sheet1'!$E$17</definedName>
    <definedName name="g" localSheetId="0">'Sheet1'!$E$18</definedName>
    <definedName name="g">'Sheet3'!$O$12</definedName>
    <definedName name="h">'Sheet3'!$O$6</definedName>
    <definedName name="k">'Sheet3'!$O$8</definedName>
    <definedName name="k_unwind">'Sheet3'!$O$13</definedName>
    <definedName name="mphpfps">'Sheet1'!$G$16</definedName>
    <definedName name="mphpfps2">'Sheet1'!$G$17</definedName>
    <definedName name="r_">'Sheet3'!$O$4</definedName>
    <definedName name="r_0">'Sheet1'!$E$21</definedName>
    <definedName name="r_1" localSheetId="0">'Sheet1'!$E$20</definedName>
    <definedName name="r_1">'Sheet3'!$O$3</definedName>
    <definedName name="r0">'Sheet3'!$O$2</definedName>
    <definedName name="v0">'Sheet3'!$O$9</definedName>
    <definedName name="w">'Sheet3'!$O$7</definedName>
  </definedNames>
  <calcPr fullCalcOnLoad="1"/>
</workbook>
</file>

<file path=xl/sharedStrings.xml><?xml version="1.0" encoding="utf-8"?>
<sst xmlns="http://schemas.openxmlformats.org/spreadsheetml/2006/main" count="129" uniqueCount="76">
  <si>
    <t>Radius (ft)</t>
  </si>
  <si>
    <t>End Speed (mph)</t>
  </si>
  <si>
    <t>Start Speed (mph)</t>
  </si>
  <si>
    <t>Stopping Distance @ 1g (ft)</t>
  </si>
  <si>
    <t>Required Braking Distance (ft) @ 1g from 100 mph</t>
  </si>
  <si>
    <t>Straight Distance (ft) prior to braking</t>
  </si>
  <si>
    <t>Time (sec) in straight @ 100 mph prior to braking</t>
  </si>
  <si>
    <t>Time (sec) in braking zone</t>
  </si>
  <si>
    <t>Time (sec) in corner @ 180 degrees</t>
  </si>
  <si>
    <t>Time (sec) in exit chute at 1/2 g accel.</t>
  </si>
  <si>
    <t>Exit speed (mph)</t>
  </si>
  <si>
    <t xml:space="preserve">Total time (sec) in segment </t>
  </si>
  <si>
    <t>Inscribed Corner Radius (ft)</t>
  </si>
  <si>
    <t>Alpha (deg)</t>
  </si>
  <si>
    <t>h (ft)</t>
  </si>
  <si>
    <t>Cornering speed @ 1g in mph</t>
  </si>
  <si>
    <t>Braking gs</t>
  </si>
  <si>
    <t>Cornering gs</t>
  </si>
  <si>
    <t>Accel gs</t>
  </si>
  <si>
    <t>r(t)</t>
  </si>
  <si>
    <t>limiting v(t)</t>
  </si>
  <si>
    <t>t</t>
  </si>
  <si>
    <t>cornering gs</t>
  </si>
  <si>
    <t>accel gs</t>
  </si>
  <si>
    <t>accel v(t)</t>
  </si>
  <si>
    <t>distance to wall (ft)</t>
  </si>
  <si>
    <t>distance to exit (ft)</t>
  </si>
  <si>
    <t>alpha</t>
  </si>
  <si>
    <t>heading</t>
  </si>
  <si>
    <t>speed (mph)</t>
  </si>
  <si>
    <t>delta wall (feet)</t>
  </si>
  <si>
    <t>delta exit (feet)</t>
  </si>
  <si>
    <t>r0</t>
  </si>
  <si>
    <t>r</t>
  </si>
  <si>
    <t>h</t>
  </si>
  <si>
    <t>w</t>
  </si>
  <si>
    <t>r_1</t>
  </si>
  <si>
    <t>k</t>
  </si>
  <si>
    <t>feet</t>
  </si>
  <si>
    <t>degrees</t>
  </si>
  <si>
    <t>seconds</t>
  </si>
  <si>
    <t>v0</t>
  </si>
  <si>
    <t>mph</t>
  </si>
  <si>
    <t>vy(t) (mph)</t>
  </si>
  <si>
    <t>vx(t) (mph)</t>
  </si>
  <si>
    <t>y(t) (feet)</t>
  </si>
  <si>
    <t>x(t) (feet)</t>
  </si>
  <si>
    <t>amax</t>
  </si>
  <si>
    <t>fpsps</t>
  </si>
  <si>
    <t>parameters</t>
  </si>
  <si>
    <t>a(t) (tangential, fpsps)</t>
  </si>
  <si>
    <t>v^2/r (radial, fpsps)</t>
  </si>
  <si>
    <t>r(t) (feet)</t>
  </si>
  <si>
    <t>v (mph)</t>
  </si>
  <si>
    <t>ax(t) (fpsps)</t>
  </si>
  <si>
    <t>ay(t) (fpsps)</t>
  </si>
  <si>
    <t>deltat</t>
  </si>
  <si>
    <t>g</t>
  </si>
  <si>
    <t>k_unwind</t>
  </si>
  <si>
    <t>a(t) (radial, fpsps)</t>
  </si>
  <si>
    <t>fpspmph</t>
  </si>
  <si>
    <t>fpspmph2</t>
  </si>
  <si>
    <t>mphpfps</t>
  </si>
  <si>
    <t>mphpfps2</t>
  </si>
  <si>
    <t>chute</t>
  </si>
  <si>
    <t>r_0</t>
  </si>
  <si>
    <t>Time (sec) in corner prior to apex</t>
  </si>
  <si>
    <t>Time (sec) in corner after apex</t>
  </si>
  <si>
    <t>Exit speed from chute (mph) @ g/2 accel</t>
  </si>
  <si>
    <t>Time in exit chute (sec)</t>
  </si>
  <si>
    <t>Combined segment time</t>
  </si>
  <si>
    <t>Combined post-apex time and exit-chute time</t>
  </si>
  <si>
    <t>Combined pre-apex time and entry-chute time</t>
  </si>
  <si>
    <t>Total time (sec) up to the apex</t>
  </si>
  <si>
    <t>Time for entrance and complete corner</t>
  </si>
  <si>
    <t>Total time (sec) in the semi-circle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</si>
</sst>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Cornering Speed at 1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Sheet1!$A$2:$A$21</c:f>
              <c:numCache/>
            </c:numRef>
          </c:xVal>
          <c:yVal>
            <c:numRef>
              <c:f>Sheet1!$B$2:$B$21</c:f>
              <c:numCache/>
            </c:numRef>
          </c:yVal>
          <c:smooth val="1"/>
        </c:ser>
        <c:axId val="44881880"/>
        <c:axId val="1283737"/>
      </c:scatterChart>
      <c:valAx>
        <c:axId val="4488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Radius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3737"/>
        <c:crosses val="autoZero"/>
        <c:crossBetween val="midCat"/>
        <c:dispUnits/>
      </c:valAx>
      <c:valAx>
        <c:axId val="128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818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2</xdr:row>
      <xdr:rowOff>9525</xdr:rowOff>
    </xdr:from>
    <xdr:to>
      <xdr:col>19</xdr:col>
      <xdr:colOff>257175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6896100" y="1143000"/>
        <a:ext cx="52863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G16">
      <selection activeCell="E24" sqref="E24:T39"/>
    </sheetView>
  </sheetViews>
  <sheetFormatPr defaultColWidth="9.140625" defaultRowHeight="12.75"/>
  <cols>
    <col min="1" max="1" width="9.421875" style="0" bestFit="1" customWidth="1"/>
    <col min="2" max="2" width="11.140625" style="1" customWidth="1"/>
    <col min="3" max="3" width="9.140625" style="1" customWidth="1"/>
    <col min="4" max="5" width="9.57421875" style="0" bestFit="1" customWidth="1"/>
    <col min="6" max="6" width="9.00390625" style="0" bestFit="1" customWidth="1"/>
    <col min="7" max="7" width="12.140625" style="0" bestFit="1" customWidth="1"/>
    <col min="9" max="9" width="8.28125" style="0" bestFit="1" customWidth="1"/>
  </cols>
  <sheetData>
    <row r="1" spans="1:10" s="2" customFormat="1" ht="76.5">
      <c r="A1" s="2" t="s">
        <v>0</v>
      </c>
      <c r="B1" s="3" t="s">
        <v>15</v>
      </c>
      <c r="C1" s="3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</row>
    <row r="2" spans="1:10" ht="12.75">
      <c r="A2">
        <f>50</f>
        <v>50</v>
      </c>
      <c r="B2" s="1">
        <f>SQRT(32*A2)*60/88</f>
        <v>27.272727272727273</v>
      </c>
      <c r="C2" s="1">
        <f>(100*100-B2*B2)*88*88/(2*32*3600)</f>
        <v>311.1111111111111</v>
      </c>
      <c r="D2" s="1">
        <f>13*50-C2-100</f>
        <v>238.8888888888889</v>
      </c>
      <c r="E2" s="4">
        <f>D2/(100*88/60)</f>
        <v>1.6287878787878791</v>
      </c>
      <c r="F2" s="4">
        <f>(100-B2)*88/(60*32)</f>
        <v>3.333333333333333</v>
      </c>
      <c r="G2" s="4">
        <f>A2*PI()/(B2*(88/60))</f>
        <v>3.9269908169872414</v>
      </c>
      <c r="H2" s="4">
        <f>(I2-B2)*(88/60)/16</f>
        <v>4.346531968814577</v>
      </c>
      <c r="I2" s="1">
        <f>SQRT(16*((B2*B2*88*88/3600)/16+13*50))*60/88</f>
        <v>74.68943965979538</v>
      </c>
      <c r="J2" s="4">
        <f>E2+F2+G2+H2</f>
        <v>13.235643997923031</v>
      </c>
    </row>
    <row r="3" spans="1:10" ht="12.75">
      <c r="A3">
        <f>A2+50</f>
        <v>100</v>
      </c>
      <c r="B3" s="1">
        <f aca="true" t="shared" si="0" ref="B3:B21">SQRT(32*A3)*60/88</f>
        <v>38.5694607919935</v>
      </c>
      <c r="C3" s="1">
        <f>(100*100-B3*B3)*88*88/(2*32*3600)</f>
        <v>286.11111111111114</v>
      </c>
      <c r="D3" s="1">
        <f aca="true" t="shared" si="1" ref="D3:D14">13*50-C3-100</f>
        <v>263.88888888888886</v>
      </c>
      <c r="E3" s="4">
        <f aca="true" t="shared" si="2" ref="E3:E14">D3/(100*88/60)</f>
        <v>1.799242424242424</v>
      </c>
      <c r="F3" s="4">
        <f aca="true" t="shared" si="3" ref="F3:F14">(100-B3)*88/(60*32)</f>
        <v>2.8155663803669646</v>
      </c>
      <c r="G3" s="4">
        <f>A3*PI()/(B3*(88/60))</f>
        <v>5.5536036726979585</v>
      </c>
      <c r="H3" s="4">
        <f aca="true" t="shared" si="4" ref="H3:H14">(I3-B3)*(88/60)/16</f>
        <v>3.7531559626238873</v>
      </c>
      <c r="I3" s="1">
        <f aca="true" t="shared" si="5" ref="I3:I14">SQRT(16*((B3*B3*88*88/3600)/16+13*50))*60/88</f>
        <v>79.51298038425409</v>
      </c>
      <c r="J3" s="4">
        <f aca="true" t="shared" si="6" ref="J3:J14">E3+F3+G3+H3</f>
        <v>13.921568439931235</v>
      </c>
    </row>
    <row r="4" spans="1:10" s="7" customFormat="1" ht="12.75">
      <c r="A4" s="7">
        <f aca="true" t="shared" si="7" ref="A4:A21">A3+50</f>
        <v>150</v>
      </c>
      <c r="B4" s="8">
        <f>SQRT(g*A4)*mphpfps</f>
        <v>47.31150070726518</v>
      </c>
      <c r="C4" s="8">
        <f>(100*100-B4*B4)*fpspmph2/(2*g)</f>
        <v>260.06403599861545</v>
      </c>
      <c r="D4" s="8">
        <f>650-C4</f>
        <v>389.93596400138455</v>
      </c>
      <c r="E4" s="9">
        <f>D4/(100*fpspmph)</f>
        <v>2.6586543000094403</v>
      </c>
      <c r="F4" s="9">
        <f>(100-B4)*fpspmph/g</f>
        <v>2.4073665305091714</v>
      </c>
      <c r="G4" s="9">
        <f>A4*PI()/(B4*fpspmph)</f>
        <v>6.7911447292825695</v>
      </c>
      <c r="H4" s="9">
        <f>(I4-B4)*fpspmph/(g/2)</f>
        <v>5.661034514315186</v>
      </c>
      <c r="I4" s="8">
        <f>SQRT(chute*g+B4*B4*fpspmph2)*mphpfps</f>
        <v>109.26123067641888</v>
      </c>
      <c r="J4" s="9">
        <f t="shared" si="6"/>
        <v>17.51820007411637</v>
      </c>
    </row>
    <row r="5" spans="1:10" s="7" customFormat="1" ht="12.75">
      <c r="A5" s="7">
        <f t="shared" si="7"/>
        <v>200</v>
      </c>
      <c r="B5" s="8">
        <f>SQRT(g*A5)*mphpfps</f>
        <v>54.63061533820944</v>
      </c>
      <c r="C5" s="8">
        <f>(100*100-B5*B5)*fpspmph2/(2*g)</f>
        <v>235.06403599861545</v>
      </c>
      <c r="D5" s="8">
        <f>550-C5</f>
        <v>314.93596400138455</v>
      </c>
      <c r="E5" s="9">
        <f>D5/(100*fpspmph)</f>
        <v>2.147290663645804</v>
      </c>
      <c r="F5" s="9">
        <f>(100-B5)*fpspmph/g</f>
        <v>2.0729521548481666</v>
      </c>
      <c r="G5" s="9">
        <f>A5*PI()/(B5*fpspmph)</f>
        <v>7.841738475114001</v>
      </c>
      <c r="H5" s="9">
        <f>(I5-B5)*fpspmph/(g/2)</f>
        <v>4.6751591274634565</v>
      </c>
      <c r="I5" s="8">
        <f>SQRT((chute-100)*g+B5*B5*fpspmph2)*mphpfps</f>
        <v>105.79173169897432</v>
      </c>
      <c r="J5" s="9">
        <f t="shared" si="6"/>
        <v>16.737140421071427</v>
      </c>
    </row>
    <row r="6" spans="1:10" ht="12.75">
      <c r="A6">
        <f t="shared" si="7"/>
        <v>250</v>
      </c>
      <c r="B6" s="1">
        <f t="shared" si="0"/>
        <v>60.98367211363063</v>
      </c>
      <c r="C6" s="1">
        <f>(100*100-B6*B6)*88*88/(2*32*3600)</f>
        <v>211.11111111111106</v>
      </c>
      <c r="D6" s="1">
        <f t="shared" si="1"/>
        <v>338.8888888888889</v>
      </c>
      <c r="E6" s="4">
        <f t="shared" si="2"/>
        <v>2.310606060606061</v>
      </c>
      <c r="F6" s="4">
        <f t="shared" si="3"/>
        <v>1.788248361458596</v>
      </c>
      <c r="G6" s="4">
        <f aca="true" t="shared" si="8" ref="G6:G14">A6*PI()/(B6*(88/60))</f>
        <v>8.781018413800906</v>
      </c>
      <c r="H6" s="4">
        <f t="shared" si="4"/>
        <v>2.8877425351571104</v>
      </c>
      <c r="I6" s="1">
        <f t="shared" si="5"/>
        <v>92.4863179517082</v>
      </c>
      <c r="J6" s="4">
        <f t="shared" si="6"/>
        <v>15.767615371022673</v>
      </c>
    </row>
    <row r="7" spans="1:10" ht="12.75">
      <c r="A7">
        <f t="shared" si="7"/>
        <v>300</v>
      </c>
      <c r="B7" s="1">
        <f t="shared" si="0"/>
        <v>66.80426571226849</v>
      </c>
      <c r="C7" s="1">
        <f aca="true" t="shared" si="9" ref="C7:C14">(100*100-B7*B7)*88*88/(2*32*3600)</f>
        <v>186.11111111111114</v>
      </c>
      <c r="D7" s="1">
        <f t="shared" si="1"/>
        <v>363.88888888888886</v>
      </c>
      <c r="E7" s="4">
        <f t="shared" si="2"/>
        <v>2.481060606060606</v>
      </c>
      <c r="F7" s="4">
        <f t="shared" si="3"/>
        <v>1.521471154854361</v>
      </c>
      <c r="G7" s="4">
        <f t="shared" si="8"/>
        <v>9.619123726213981</v>
      </c>
      <c r="H7" s="4">
        <f t="shared" si="4"/>
        <v>2.7151104078738983</v>
      </c>
      <c r="I7" s="1">
        <f t="shared" si="5"/>
        <v>96.42365197998375</v>
      </c>
      <c r="J7" s="4">
        <f t="shared" si="6"/>
        <v>16.336765895002845</v>
      </c>
    </row>
    <row r="8" spans="1:10" ht="12.75">
      <c r="A8">
        <f t="shared" si="7"/>
        <v>350</v>
      </c>
      <c r="B8" s="1">
        <f t="shared" si="0"/>
        <v>72.1568539381252</v>
      </c>
      <c r="C8" s="1">
        <f t="shared" si="9"/>
        <v>161.11111111111111</v>
      </c>
      <c r="D8" s="1">
        <f t="shared" si="1"/>
        <v>388.8888888888889</v>
      </c>
      <c r="E8" s="4">
        <f t="shared" si="2"/>
        <v>2.651515151515152</v>
      </c>
      <c r="F8" s="4">
        <f t="shared" si="3"/>
        <v>1.2761441945025953</v>
      </c>
      <c r="G8" s="4">
        <f t="shared" si="8"/>
        <v>10.389841102582603</v>
      </c>
      <c r="H8" s="4">
        <f t="shared" si="4"/>
        <v>2.5712082577754423</v>
      </c>
      <c r="I8" s="1">
        <f t="shared" si="5"/>
        <v>100.20639856840275</v>
      </c>
      <c r="J8" s="4">
        <f t="shared" si="6"/>
        <v>16.88870870637579</v>
      </c>
    </row>
    <row r="9" spans="1:10" ht="12.75">
      <c r="A9">
        <f t="shared" si="7"/>
        <v>400</v>
      </c>
      <c r="B9" s="1">
        <f t="shared" si="0"/>
        <v>77.138921583987</v>
      </c>
      <c r="C9" s="1">
        <f t="shared" si="9"/>
        <v>136.11111111111111</v>
      </c>
      <c r="D9" s="1">
        <f t="shared" si="1"/>
        <v>413.8888888888889</v>
      </c>
      <c r="E9" s="4">
        <f t="shared" si="2"/>
        <v>2.8219696969696972</v>
      </c>
      <c r="F9" s="4">
        <f t="shared" si="3"/>
        <v>1.0477994274005957</v>
      </c>
      <c r="G9" s="4">
        <f t="shared" si="8"/>
        <v>11.107207345395917</v>
      </c>
      <c r="H9" s="4">
        <f t="shared" si="4"/>
        <v>2.4486485704644116</v>
      </c>
      <c r="I9" s="1">
        <f t="shared" si="5"/>
        <v>103.85145144359876</v>
      </c>
      <c r="J9" s="4">
        <f t="shared" si="6"/>
        <v>17.42562504023062</v>
      </c>
    </row>
    <row r="10" spans="1:10" ht="12.75">
      <c r="A10">
        <f t="shared" si="7"/>
        <v>450</v>
      </c>
      <c r="B10" s="1">
        <f t="shared" si="0"/>
        <v>81.81818181818181</v>
      </c>
      <c r="C10" s="1">
        <f t="shared" si="9"/>
        <v>111.11111111111113</v>
      </c>
      <c r="D10" s="1">
        <f t="shared" si="1"/>
        <v>438.8888888888889</v>
      </c>
      <c r="E10" s="4">
        <f t="shared" si="2"/>
        <v>2.9924242424242427</v>
      </c>
      <c r="F10" s="4">
        <f t="shared" si="3"/>
        <v>0.8333333333333336</v>
      </c>
      <c r="G10" s="4">
        <f t="shared" si="8"/>
        <v>11.780972450961725</v>
      </c>
      <c r="H10" s="4">
        <f t="shared" si="4"/>
        <v>2.3425098425147635</v>
      </c>
      <c r="I10" s="1">
        <f t="shared" si="5"/>
        <v>107.3728346456156</v>
      </c>
      <c r="J10" s="4">
        <f t="shared" si="6"/>
        <v>17.949239869234063</v>
      </c>
    </row>
    <row r="11" spans="1:10" ht="12.75">
      <c r="A11">
        <f t="shared" si="7"/>
        <v>500</v>
      </c>
      <c r="B11" s="1">
        <f t="shared" si="0"/>
        <v>86.24393618641035</v>
      </c>
      <c r="C11" s="1">
        <f t="shared" si="9"/>
        <v>86.11111111111109</v>
      </c>
      <c r="D11" s="1">
        <f t="shared" si="1"/>
        <v>463.8888888888889</v>
      </c>
      <c r="E11" s="4">
        <f t="shared" si="2"/>
        <v>3.162878787878788</v>
      </c>
      <c r="F11" s="4">
        <f t="shared" si="3"/>
        <v>0.6304862581228589</v>
      </c>
      <c r="G11" s="4">
        <f t="shared" si="8"/>
        <v>12.418235332245125</v>
      </c>
      <c r="H11" s="4">
        <f t="shared" si="4"/>
        <v>2.2493538553740016</v>
      </c>
      <c r="I11" s="1">
        <f t="shared" si="5"/>
        <v>110.78234188139946</v>
      </c>
      <c r="J11" s="4">
        <f t="shared" si="6"/>
        <v>18.46095423362077</v>
      </c>
    </row>
    <row r="12" spans="1:10" ht="12.75">
      <c r="A12">
        <f t="shared" si="7"/>
        <v>550</v>
      </c>
      <c r="B12" s="1">
        <f t="shared" si="0"/>
        <v>90.4534033733291</v>
      </c>
      <c r="C12" s="1">
        <f t="shared" si="9"/>
        <v>61.11111111111104</v>
      </c>
      <c r="D12" s="1">
        <f t="shared" si="1"/>
        <v>488.8888888888889</v>
      </c>
      <c r="E12" s="4">
        <f t="shared" si="2"/>
        <v>3.333333333333334</v>
      </c>
      <c r="F12" s="4">
        <f t="shared" si="3"/>
        <v>0.4375523453890831</v>
      </c>
      <c r="G12" s="4">
        <f t="shared" si="8"/>
        <v>13.024355095117889</v>
      </c>
      <c r="H12" s="4">
        <f t="shared" si="4"/>
        <v>2.166688355787444</v>
      </c>
      <c r="I12" s="1">
        <f t="shared" si="5"/>
        <v>114.09000361828303</v>
      </c>
      <c r="J12" s="4">
        <f t="shared" si="6"/>
        <v>18.961929129627748</v>
      </c>
    </row>
    <row r="13" spans="1:10" ht="12.75">
      <c r="A13">
        <f t="shared" si="7"/>
        <v>600</v>
      </c>
      <c r="B13" s="1">
        <f t="shared" si="0"/>
        <v>94.47549859466604</v>
      </c>
      <c r="C13" s="1">
        <f t="shared" si="9"/>
        <v>36.111111111111114</v>
      </c>
      <c r="D13" s="1">
        <f t="shared" si="1"/>
        <v>513.8888888888889</v>
      </c>
      <c r="E13" s="4">
        <f t="shared" si="2"/>
        <v>3.5037878787878793</v>
      </c>
      <c r="F13" s="4">
        <f t="shared" si="3"/>
        <v>0.25320631441114005</v>
      </c>
      <c r="G13" s="4">
        <f t="shared" si="8"/>
        <v>13.603495231756634</v>
      </c>
      <c r="H13" s="4">
        <f t="shared" si="4"/>
        <v>2.0926525459588974</v>
      </c>
      <c r="I13" s="1">
        <f t="shared" si="5"/>
        <v>117.30443545967219</v>
      </c>
      <c r="J13" s="4">
        <f t="shared" si="6"/>
        <v>19.45314197091455</v>
      </c>
    </row>
    <row r="14" spans="1:10" ht="12.75">
      <c r="A14">
        <f t="shared" si="7"/>
        <v>650</v>
      </c>
      <c r="B14" s="1">
        <f t="shared" si="0"/>
        <v>98.33321660356333</v>
      </c>
      <c r="C14" s="1">
        <f t="shared" si="9"/>
        <v>11.111111111111239</v>
      </c>
      <c r="D14" s="1">
        <f t="shared" si="1"/>
        <v>538.8888888888888</v>
      </c>
      <c r="E14" s="4">
        <f t="shared" si="2"/>
        <v>3.674242424242424</v>
      </c>
      <c r="F14" s="4">
        <f t="shared" si="3"/>
        <v>0.07639423900334741</v>
      </c>
      <c r="G14" s="4">
        <f t="shared" si="8"/>
        <v>14.158966748923724</v>
      </c>
      <c r="H14" s="4">
        <f t="shared" si="4"/>
        <v>2.0258228942498357</v>
      </c>
      <c r="I14" s="1">
        <f t="shared" si="5"/>
        <v>120.43310272265245</v>
      </c>
      <c r="J14" s="4">
        <f t="shared" si="6"/>
        <v>19.93542630641933</v>
      </c>
    </row>
    <row r="15" spans="1:2" ht="12.75">
      <c r="A15">
        <f t="shared" si="7"/>
        <v>700</v>
      </c>
      <c r="B15" s="1">
        <f t="shared" si="0"/>
        <v>102.04520145747114</v>
      </c>
    </row>
    <row r="16" spans="1:7" ht="12.75">
      <c r="A16">
        <f t="shared" si="7"/>
        <v>750</v>
      </c>
      <c r="B16" s="1">
        <f t="shared" si="0"/>
        <v>105.62681853292956</v>
      </c>
      <c r="D16" s="1" t="s">
        <v>60</v>
      </c>
      <c r="E16" s="11">
        <f>88/60</f>
        <v>1.4666666666666666</v>
      </c>
      <c r="F16" s="11" t="s">
        <v>62</v>
      </c>
      <c r="G16" s="10">
        <f>60/88</f>
        <v>0.6818181818181818</v>
      </c>
    </row>
    <row r="17" spans="1:7" ht="12.75">
      <c r="A17">
        <f t="shared" si="7"/>
        <v>800</v>
      </c>
      <c r="B17" s="1">
        <f t="shared" si="0"/>
        <v>109.0909090909091</v>
      </c>
      <c r="D17" s="1" t="s">
        <v>61</v>
      </c>
      <c r="E17" s="11">
        <f>88*88/3600</f>
        <v>2.151111111111111</v>
      </c>
      <c r="F17" s="11" t="s">
        <v>63</v>
      </c>
      <c r="G17" s="10">
        <f>3600/(88*88)</f>
        <v>0.46487603305785125</v>
      </c>
    </row>
    <row r="18" spans="1:6" ht="12.75">
      <c r="A18">
        <f t="shared" si="7"/>
        <v>850</v>
      </c>
      <c r="B18" s="1">
        <f t="shared" si="0"/>
        <v>112.44833524411801</v>
      </c>
      <c r="D18" t="s">
        <v>57</v>
      </c>
      <c r="E18">
        <v>32.1</v>
      </c>
      <c r="F18" t="s">
        <v>48</v>
      </c>
    </row>
    <row r="19" spans="1:6" ht="12.75">
      <c r="A19">
        <f t="shared" si="7"/>
        <v>900</v>
      </c>
      <c r="B19" s="1">
        <f t="shared" si="0"/>
        <v>115.7083823759805</v>
      </c>
      <c r="D19" s="1" t="s">
        <v>64</v>
      </c>
      <c r="E19">
        <v>650</v>
      </c>
      <c r="F19" t="s">
        <v>38</v>
      </c>
    </row>
    <row r="20" spans="1:6" ht="12.75">
      <c r="A20">
        <f t="shared" si="7"/>
        <v>950</v>
      </c>
      <c r="B20" s="1">
        <f t="shared" si="0"/>
        <v>118.87906209656384</v>
      </c>
      <c r="D20" s="1" t="s">
        <v>36</v>
      </c>
      <c r="E20">
        <v>200</v>
      </c>
      <c r="F20" t="s">
        <v>38</v>
      </c>
    </row>
    <row r="21" spans="1:6" ht="12.75">
      <c r="A21">
        <f t="shared" si="7"/>
        <v>1000</v>
      </c>
      <c r="B21" s="1">
        <f t="shared" si="0"/>
        <v>121.96734422726126</v>
      </c>
      <c r="D21" s="1" t="s">
        <v>65</v>
      </c>
      <c r="E21">
        <v>100</v>
      </c>
      <c r="F21" t="s">
        <v>38</v>
      </c>
    </row>
    <row r="24" spans="1:20" s="2" customFormat="1" ht="76.5">
      <c r="A24" s="2" t="s">
        <v>2</v>
      </c>
      <c r="B24" s="3" t="s">
        <v>1</v>
      </c>
      <c r="C24" s="3" t="s">
        <v>3</v>
      </c>
      <c r="E24" s="2" t="s">
        <v>12</v>
      </c>
      <c r="F24" s="2" t="s">
        <v>13</v>
      </c>
      <c r="G24" s="2" t="s">
        <v>14</v>
      </c>
      <c r="H24" s="3" t="s">
        <v>15</v>
      </c>
      <c r="I24" s="3" t="s">
        <v>4</v>
      </c>
      <c r="J24" s="2" t="s">
        <v>5</v>
      </c>
      <c r="K24" s="2" t="s">
        <v>6</v>
      </c>
      <c r="L24" s="2" t="s">
        <v>7</v>
      </c>
      <c r="M24" s="2" t="s">
        <v>66</v>
      </c>
      <c r="N24" s="2" t="s">
        <v>67</v>
      </c>
      <c r="O24" s="2" t="s">
        <v>74</v>
      </c>
      <c r="P24" s="2" t="s">
        <v>68</v>
      </c>
      <c r="Q24" s="2" t="s">
        <v>69</v>
      </c>
      <c r="R24" s="2" t="s">
        <v>70</v>
      </c>
      <c r="S24" s="2" t="s">
        <v>71</v>
      </c>
      <c r="T24" s="2" t="s">
        <v>72</v>
      </c>
    </row>
    <row r="25" spans="1:20" ht="12.75">
      <c r="A25">
        <v>100</v>
      </c>
      <c r="B25" s="1">
        <v>5</v>
      </c>
      <c r="C25" s="1">
        <f>(A25*A25-B25*B25)*fpspmph2/(2*g)</f>
        <v>334.22637590861893</v>
      </c>
      <c r="E25">
        <v>150</v>
      </c>
      <c r="F25" s="1">
        <f>ASIN((r_1-E25)/(E25-r_0))*180/PI()</f>
        <v>90</v>
      </c>
      <c r="G25" s="1">
        <f>(E25-r_0)*COS(F25*PI()/180)</f>
        <v>3.06287113727155E-15</v>
      </c>
      <c r="H25" s="1">
        <f>SQRT(g*E25)*mphpfps</f>
        <v>47.31150070726518</v>
      </c>
      <c r="I25" s="1">
        <f>(100*100-H25*H25)*fpspmph2/(2*g)</f>
        <v>260.06403599861545</v>
      </c>
      <c r="J25" s="1">
        <f>chute-I25-G25</f>
        <v>389.93596400138455</v>
      </c>
      <c r="K25" s="4">
        <f>J25/(100*fpspmph)</f>
        <v>2.6586543000094403</v>
      </c>
      <c r="L25" s="4">
        <f>(100-H25)*fpspmph/g</f>
        <v>2.4073665305091714</v>
      </c>
      <c r="M25" s="4">
        <f>(E25*(90+F25)*PI()/180)/(H25*fpspmph)</f>
        <v>6.7911447292825695</v>
      </c>
      <c r="N25" s="4">
        <f>(E25*(90-F25)*PI()/180)/(H25*fpspmph)</f>
        <v>0</v>
      </c>
      <c r="O25" s="4">
        <f>N25+M25+L25+K25</f>
        <v>11.85716555980118</v>
      </c>
      <c r="P25" s="4">
        <f>SQRT((chute-G25)*g+H25*H25*fpspmph2)*mphpfps</f>
        <v>109.26123067641888</v>
      </c>
      <c r="Q25" s="4">
        <f>(P25-H25)*fpspmph/(g/2)</f>
        <v>5.661034514315186</v>
      </c>
      <c r="R25" s="4">
        <f>Q25+N25+M25+L25+K25</f>
        <v>17.51820007411637</v>
      </c>
      <c r="S25" s="4">
        <f>N25+Q25</f>
        <v>5.661034514315186</v>
      </c>
      <c r="T25" s="4">
        <f>M25+L25+K25</f>
        <v>11.85716555980118</v>
      </c>
    </row>
    <row r="26" spans="1:20" ht="12.75">
      <c r="A26">
        <v>100</v>
      </c>
      <c r="B26" s="1">
        <f>B25+25</f>
        <v>30</v>
      </c>
      <c r="C26" s="1">
        <f>(A26*A26-B26*B26)*fpspmph2/(2*g)</f>
        <v>304.90827275874005</v>
      </c>
      <c r="E26">
        <v>151</v>
      </c>
      <c r="F26" s="1">
        <f aca="true" t="shared" si="10" ref="F26:F39">ASIN((r_1-E26)/(E26-r_0))*180/PI()</f>
        <v>73.90106604894322</v>
      </c>
      <c r="G26" s="1">
        <f aca="true" t="shared" si="11" ref="G26:G39">(E26-r_0)*COS(F26*PI()/180)</f>
        <v>14.142135623730933</v>
      </c>
      <c r="H26" s="1">
        <f aca="true" t="shared" si="12" ref="H26:H39">SQRT(g*E26)*mphpfps</f>
        <v>47.46894374045741</v>
      </c>
      <c r="I26" s="1">
        <f aca="true" t="shared" si="13" ref="I26:I39">(100*100-H26*H26)*fpspmph2/(2*g)</f>
        <v>259.56403599861545</v>
      </c>
      <c r="J26" s="1">
        <f aca="true" t="shared" si="14" ref="J26:J39">chute-I26-G26</f>
        <v>376.2938283776536</v>
      </c>
      <c r="K26" s="4">
        <f aca="true" t="shared" si="15" ref="K26:K39">J26/(100*fpspmph)</f>
        <v>2.5656397389385472</v>
      </c>
      <c r="L26" s="4">
        <f aca="true" t="shared" si="16" ref="L26:L39">(100-H26)*fpspmph/g</f>
        <v>2.4001728716717277</v>
      </c>
      <c r="M26" s="4">
        <f aca="true" t="shared" si="17" ref="M26:M39">(E26*(90+F26)*PI()/180)/(H26*fpspmph)</f>
        <v>6.2043330581318274</v>
      </c>
      <c r="N26" s="4">
        <f aca="true" t="shared" si="18" ref="N26:N39">(E26*(90-F26)*PI()/180)/(H26*fpspmph)</f>
        <v>0.609411216906886</v>
      </c>
      <c r="O26" s="4">
        <f aca="true" t="shared" si="19" ref="O26:O39">N26+M26+L26+K26</f>
        <v>11.779556885648988</v>
      </c>
      <c r="P26" s="4">
        <f aca="true" t="shared" si="20" ref="P26:P39">SQRT((chute-G26)*g+H26*H26*fpspmph2)*mphpfps</f>
        <v>108.36006062451592</v>
      </c>
      <c r="Q26" s="4">
        <f aca="true" t="shared" si="21" ref="Q26:Q39">(P26-H26)*fpspmph/(g/2)</f>
        <v>5.564297285355295</v>
      </c>
      <c r="R26" s="4">
        <f aca="true" t="shared" si="22" ref="R26:R39">Q26+N26+M26+L26+K26</f>
        <v>17.343854171004285</v>
      </c>
      <c r="S26" s="4">
        <f aca="true" t="shared" si="23" ref="S26:S39">N26+Q26</f>
        <v>6.173708502262181</v>
      </c>
      <c r="T26" s="4">
        <f aca="true" t="shared" si="24" ref="T26:T39">M26+L26+K26</f>
        <v>11.170145668742101</v>
      </c>
    </row>
    <row r="27" spans="1:20" ht="12.75">
      <c r="A27">
        <v>100</v>
      </c>
      <c r="B27" s="1">
        <f>B26+25</f>
        <v>55</v>
      </c>
      <c r="C27" s="1">
        <f>(A27*A27-B27*B27)*fpspmph2/(2*g)</f>
        <v>233.70716510903426</v>
      </c>
      <c r="E27">
        <v>152</v>
      </c>
      <c r="F27" s="1">
        <f t="shared" si="10"/>
        <v>67.38013505195958</v>
      </c>
      <c r="G27" s="1">
        <f t="shared" si="11"/>
        <v>19.999999999999993</v>
      </c>
      <c r="H27" s="1">
        <f t="shared" si="12"/>
        <v>47.62586629653961</v>
      </c>
      <c r="I27" s="1">
        <f t="shared" si="13"/>
        <v>259.06403599861545</v>
      </c>
      <c r="J27" s="1">
        <f t="shared" si="14"/>
        <v>370.93596400138455</v>
      </c>
      <c r="K27" s="4">
        <f t="shared" si="15"/>
        <v>2.529108845463986</v>
      </c>
      <c r="L27" s="4">
        <f t="shared" si="16"/>
        <v>2.3930029937198927</v>
      </c>
      <c r="M27" s="4">
        <f t="shared" si="17"/>
        <v>5.977183088506512</v>
      </c>
      <c r="N27" s="4">
        <f t="shared" si="18"/>
        <v>0.8590860224328225</v>
      </c>
      <c r="O27" s="4">
        <f t="shared" si="19"/>
        <v>11.758380950123213</v>
      </c>
      <c r="P27" s="4">
        <f t="shared" si="20"/>
        <v>108.02504874807875</v>
      </c>
      <c r="Q27" s="4">
        <f t="shared" si="21"/>
        <v>5.519343775426213</v>
      </c>
      <c r="R27" s="4">
        <f t="shared" si="22"/>
        <v>17.277724725549426</v>
      </c>
      <c r="S27" s="4">
        <f t="shared" si="23"/>
        <v>6.378429797859035</v>
      </c>
      <c r="T27" s="4">
        <f t="shared" si="24"/>
        <v>10.89929492769039</v>
      </c>
    </row>
    <row r="28" spans="1:20" ht="12.75">
      <c r="A28">
        <v>100</v>
      </c>
      <c r="B28" s="1">
        <f>B27+25</f>
        <v>80</v>
      </c>
      <c r="C28" s="1">
        <f>(A28*A28-B28*B28)*fpspmph2/(2*g)</f>
        <v>120.62305295950155</v>
      </c>
      <c r="E28">
        <v>153</v>
      </c>
      <c r="F28" s="1">
        <f t="shared" si="10"/>
        <v>62.47291471213317</v>
      </c>
      <c r="G28" s="1">
        <f t="shared" si="11"/>
        <v>24.49489742783178</v>
      </c>
      <c r="H28" s="1">
        <f t="shared" si="12"/>
        <v>47.78227350343457</v>
      </c>
      <c r="I28" s="1">
        <f t="shared" si="13"/>
        <v>258.5640359986154</v>
      </c>
      <c r="J28" s="1">
        <f t="shared" si="14"/>
        <v>366.9410665735528</v>
      </c>
      <c r="K28" s="4">
        <f t="shared" si="15"/>
        <v>2.501870908456042</v>
      </c>
      <c r="L28" s="4">
        <f t="shared" si="16"/>
        <v>2.3858566623560526</v>
      </c>
      <c r="M28" s="4">
        <f t="shared" si="17"/>
        <v>5.80982791936431</v>
      </c>
      <c r="N28" s="4">
        <f t="shared" si="18"/>
        <v>1.048892053687781</v>
      </c>
      <c r="O28" s="4">
        <f t="shared" si="19"/>
        <v>11.746447543864186</v>
      </c>
      <c r="P28" s="4">
        <f t="shared" si="20"/>
        <v>107.78338683651273</v>
      </c>
      <c r="Q28" s="4">
        <f t="shared" si="21"/>
        <v>5.482967781215865</v>
      </c>
      <c r="R28" s="4">
        <f t="shared" si="22"/>
        <v>17.22941532508005</v>
      </c>
      <c r="S28" s="4">
        <f t="shared" si="23"/>
        <v>6.531859834903646</v>
      </c>
      <c r="T28" s="4">
        <f t="shared" si="24"/>
        <v>10.697555490176406</v>
      </c>
    </row>
    <row r="29" spans="1:20" ht="12.75">
      <c r="A29">
        <v>100</v>
      </c>
      <c r="B29" s="1">
        <f>B28+25</f>
        <v>105</v>
      </c>
      <c r="C29" s="1">
        <f>(A29*A29-B29*B29)*fpspmph2/(2*g)</f>
        <v>-34.34406368985808</v>
      </c>
      <c r="E29">
        <v>154</v>
      </c>
      <c r="F29" s="1">
        <f t="shared" si="10"/>
        <v>58.41366190347208</v>
      </c>
      <c r="G29" s="1">
        <f t="shared" si="11"/>
        <v>28.2842712474619</v>
      </c>
      <c r="H29" s="1">
        <f t="shared" si="12"/>
        <v>47.938170405410574</v>
      </c>
      <c r="I29" s="1">
        <f t="shared" si="13"/>
        <v>258.06403599861545</v>
      </c>
      <c r="J29" s="1">
        <f t="shared" si="14"/>
        <v>363.65169275392265</v>
      </c>
      <c r="K29" s="4">
        <f t="shared" si="15"/>
        <v>2.4794433596858365</v>
      </c>
      <c r="L29" s="4">
        <f t="shared" si="16"/>
        <v>2.378733647104813</v>
      </c>
      <c r="M29" s="4">
        <f t="shared" si="17"/>
        <v>5.67360494761008</v>
      </c>
      <c r="N29" s="4">
        <f t="shared" si="18"/>
        <v>1.207492637826714</v>
      </c>
      <c r="O29" s="4">
        <f t="shared" si="19"/>
        <v>11.739274592227444</v>
      </c>
      <c r="P29" s="4">
        <f t="shared" si="20"/>
        <v>107.59012031545566</v>
      </c>
      <c r="Q29" s="4">
        <f t="shared" si="21"/>
        <v>5.451060843285532</v>
      </c>
      <c r="R29" s="4">
        <f t="shared" si="22"/>
        <v>17.190335435512978</v>
      </c>
      <c r="S29" s="4">
        <f t="shared" si="23"/>
        <v>6.658553481112246</v>
      </c>
      <c r="T29" s="4">
        <f t="shared" si="24"/>
        <v>10.53178195440073</v>
      </c>
    </row>
    <row r="30" spans="5:20" ht="12.75">
      <c r="E30">
        <f>E25+5</f>
        <v>155</v>
      </c>
      <c r="F30" s="1">
        <f t="shared" si="10"/>
        <v>54.90319877241541</v>
      </c>
      <c r="G30" s="1">
        <f t="shared" si="11"/>
        <v>31.622776601683793</v>
      </c>
      <c r="H30" s="1">
        <f t="shared" si="12"/>
        <v>48.09356196497966</v>
      </c>
      <c r="I30" s="1">
        <f t="shared" si="13"/>
        <v>257.5640359986154</v>
      </c>
      <c r="J30" s="1">
        <f t="shared" si="14"/>
        <v>360.81318739970084</v>
      </c>
      <c r="K30" s="4">
        <f t="shared" si="15"/>
        <v>2.4600899140888695</v>
      </c>
      <c r="L30" s="4">
        <f t="shared" si="16"/>
        <v>2.371633721226267</v>
      </c>
      <c r="M30" s="4">
        <f t="shared" si="17"/>
        <v>5.557361821714177</v>
      </c>
      <c r="N30" s="4">
        <f t="shared" si="18"/>
        <v>1.3460408387036924</v>
      </c>
      <c r="O30" s="4">
        <f t="shared" si="19"/>
        <v>11.735126295733007</v>
      </c>
      <c r="P30" s="4">
        <f t="shared" si="20"/>
        <v>107.42782505026166</v>
      </c>
      <c r="Q30" s="4">
        <f t="shared" si="21"/>
        <v>5.422030271552248</v>
      </c>
      <c r="R30" s="4">
        <f t="shared" si="22"/>
        <v>17.157156567285252</v>
      </c>
      <c r="S30" s="4">
        <f t="shared" si="23"/>
        <v>6.76807111025594</v>
      </c>
      <c r="T30" s="4">
        <f t="shared" si="24"/>
        <v>10.389085457029314</v>
      </c>
    </row>
    <row r="31" spans="2:20" s="7" customFormat="1" ht="12.75">
      <c r="B31" s="8"/>
      <c r="C31" s="8"/>
      <c r="E31" s="7">
        <f aca="true" t="shared" si="25" ref="E31:E39">E30+5</f>
        <v>160</v>
      </c>
      <c r="F31" s="8">
        <f t="shared" si="10"/>
        <v>41.810314895778596</v>
      </c>
      <c r="G31" s="8">
        <f t="shared" si="11"/>
        <v>44.721359549995796</v>
      </c>
      <c r="H31" s="8">
        <f t="shared" si="12"/>
        <v>48.86310781955159</v>
      </c>
      <c r="I31" s="8">
        <f t="shared" si="13"/>
        <v>255.06403599861545</v>
      </c>
      <c r="J31" s="8">
        <f t="shared" si="14"/>
        <v>350.21460445138877</v>
      </c>
      <c r="K31" s="9">
        <f t="shared" si="15"/>
        <v>2.387826848532196</v>
      </c>
      <c r="L31" s="9">
        <f t="shared" si="16"/>
        <v>2.3364727476009657</v>
      </c>
      <c r="M31" s="9">
        <f t="shared" si="17"/>
        <v>5.136109099324932</v>
      </c>
      <c r="N31" s="9">
        <f t="shared" si="18"/>
        <v>1.8777550175272473</v>
      </c>
      <c r="O31" s="4">
        <f t="shared" si="19"/>
        <v>11.73816371298534</v>
      </c>
      <c r="P31" s="9">
        <f t="shared" si="20"/>
        <v>106.8638681859184</v>
      </c>
      <c r="Q31" s="9">
        <f t="shared" si="21"/>
        <v>5.3001733252754715</v>
      </c>
      <c r="R31" s="9">
        <f t="shared" si="22"/>
        <v>17.038337038260813</v>
      </c>
      <c r="S31" s="9">
        <f t="shared" si="23"/>
        <v>7.177928342802719</v>
      </c>
      <c r="T31" s="9">
        <f t="shared" si="24"/>
        <v>9.860408695458094</v>
      </c>
    </row>
    <row r="32" spans="5:20" ht="12.75">
      <c r="E32">
        <f t="shared" si="25"/>
        <v>165</v>
      </c>
      <c r="F32" s="1">
        <f t="shared" si="10"/>
        <v>32.57897039280412</v>
      </c>
      <c r="G32" s="1">
        <f t="shared" si="11"/>
        <v>54.77225575051661</v>
      </c>
      <c r="H32" s="1">
        <f t="shared" si="12"/>
        <v>49.620720561988094</v>
      </c>
      <c r="I32" s="1">
        <f t="shared" si="13"/>
        <v>252.56403599861545</v>
      </c>
      <c r="J32" s="1">
        <f t="shared" si="14"/>
        <v>342.66370825086796</v>
      </c>
      <c r="K32" s="4">
        <f t="shared" si="15"/>
        <v>2.336343465346827</v>
      </c>
      <c r="L32" s="4">
        <f t="shared" si="16"/>
        <v>2.301857004436681</v>
      </c>
      <c r="M32" s="4">
        <f t="shared" si="17"/>
        <v>4.850458494319439</v>
      </c>
      <c r="N32" s="4">
        <f t="shared" si="18"/>
        <v>2.27215418695621</v>
      </c>
      <c r="O32" s="4">
        <f t="shared" si="19"/>
        <v>11.760813151059157</v>
      </c>
      <c r="P32" s="4">
        <f t="shared" si="20"/>
        <v>106.51062961389212</v>
      </c>
      <c r="Q32" s="4">
        <f t="shared" si="21"/>
        <v>5.198662509415944</v>
      </c>
      <c r="R32" s="4">
        <f t="shared" si="22"/>
        <v>16.9594756604751</v>
      </c>
      <c r="S32" s="4">
        <f t="shared" si="23"/>
        <v>7.470816696372154</v>
      </c>
      <c r="T32" s="4">
        <f t="shared" si="24"/>
        <v>9.488658964102948</v>
      </c>
    </row>
    <row r="33" spans="5:20" ht="12.75">
      <c r="E33">
        <f t="shared" si="25"/>
        <v>170</v>
      </c>
      <c r="F33" s="1">
        <f t="shared" si="10"/>
        <v>25.376933525152296</v>
      </c>
      <c r="G33" s="1">
        <f t="shared" si="11"/>
        <v>63.24555320336759</v>
      </c>
      <c r="H33" s="1">
        <f t="shared" si="12"/>
        <v>50.36693868398887</v>
      </c>
      <c r="I33" s="1">
        <f t="shared" si="13"/>
        <v>250.06403599861542</v>
      </c>
      <c r="J33" s="1">
        <f t="shared" si="14"/>
        <v>336.690410798017</v>
      </c>
      <c r="K33" s="4">
        <f t="shared" si="15"/>
        <v>2.295616437259207</v>
      </c>
      <c r="L33" s="4">
        <f t="shared" si="16"/>
        <v>2.267761887751287</v>
      </c>
      <c r="M33" s="4">
        <f t="shared" si="17"/>
        <v>4.634130975851928</v>
      </c>
      <c r="N33" s="4">
        <f t="shared" si="18"/>
        <v>2.595594673525838</v>
      </c>
      <c r="O33" s="4">
        <f t="shared" si="19"/>
        <v>11.793103974388261</v>
      </c>
      <c r="P33" s="4">
        <f t="shared" si="20"/>
        <v>106.26704036409973</v>
      </c>
      <c r="Q33" s="4">
        <f t="shared" si="21"/>
        <v>5.108212822273889</v>
      </c>
      <c r="R33" s="4">
        <f t="shared" si="22"/>
        <v>16.901316796662147</v>
      </c>
      <c r="S33" s="4">
        <f t="shared" si="23"/>
        <v>7.703807495799727</v>
      </c>
      <c r="T33" s="4">
        <f t="shared" si="24"/>
        <v>9.197509300862421</v>
      </c>
    </row>
    <row r="34" spans="5:20" ht="12.75">
      <c r="E34">
        <f t="shared" si="25"/>
        <v>175</v>
      </c>
      <c r="F34" s="1">
        <f t="shared" si="10"/>
        <v>19.47122063449069</v>
      </c>
      <c r="G34" s="1">
        <f t="shared" si="11"/>
        <v>70.71067811865476</v>
      </c>
      <c r="H34" s="1">
        <f t="shared" si="12"/>
        <v>51.102261356054285</v>
      </c>
      <c r="I34" s="1">
        <f t="shared" si="13"/>
        <v>247.56403599861545</v>
      </c>
      <c r="J34" s="1">
        <f t="shared" si="14"/>
        <v>331.7252858827298</v>
      </c>
      <c r="K34" s="4">
        <f t="shared" si="15"/>
        <v>2.261763312836794</v>
      </c>
      <c r="L34" s="4">
        <f t="shared" si="16"/>
        <v>2.2341645901698977</v>
      </c>
      <c r="M34" s="4">
        <f t="shared" si="17"/>
        <v>4.461119289461985</v>
      </c>
      <c r="N34" s="4">
        <f t="shared" si="18"/>
        <v>2.8741553831779454</v>
      </c>
      <c r="O34" s="4">
        <f t="shared" si="19"/>
        <v>11.831202575646621</v>
      </c>
      <c r="P34" s="4">
        <f t="shared" si="20"/>
        <v>106.09381692758771</v>
      </c>
      <c r="Q34" s="4">
        <f t="shared" si="21"/>
        <v>5.025188878810946</v>
      </c>
      <c r="R34" s="4">
        <f t="shared" si="22"/>
        <v>16.85639145445757</v>
      </c>
      <c r="S34" s="4">
        <f t="shared" si="23"/>
        <v>7.899344261988891</v>
      </c>
      <c r="T34" s="4">
        <f t="shared" si="24"/>
        <v>8.957047192468677</v>
      </c>
    </row>
    <row r="35" spans="5:20" ht="12.75">
      <c r="E35">
        <f t="shared" si="25"/>
        <v>180</v>
      </c>
      <c r="F35" s="1">
        <f t="shared" si="10"/>
        <v>14.477512185929923</v>
      </c>
      <c r="G35" s="1">
        <f t="shared" si="11"/>
        <v>77.45966692414834</v>
      </c>
      <c r="H35" s="1">
        <f t="shared" si="12"/>
        <v>51.827152333581516</v>
      </c>
      <c r="I35" s="1">
        <f t="shared" si="13"/>
        <v>245.06403599861545</v>
      </c>
      <c r="J35" s="1">
        <f t="shared" si="14"/>
        <v>327.4762970772362</v>
      </c>
      <c r="K35" s="4">
        <f t="shared" si="15"/>
        <v>2.2327929346175197</v>
      </c>
      <c r="L35" s="4">
        <f t="shared" si="16"/>
        <v>2.201043922453181</v>
      </c>
      <c r="M35" s="4">
        <f t="shared" si="17"/>
        <v>4.31801281194778</v>
      </c>
      <c r="N35" s="4">
        <f t="shared" si="18"/>
        <v>3.121313507072977</v>
      </c>
      <c r="O35" s="4">
        <f t="shared" si="19"/>
        <v>11.873163176091458</v>
      </c>
      <c r="P35" s="4">
        <f t="shared" si="20"/>
        <v>105.97074439994456</v>
      </c>
      <c r="Q35" s="4">
        <f t="shared" si="21"/>
        <v>4.947701040332241</v>
      </c>
      <c r="R35" s="4">
        <f t="shared" si="22"/>
        <v>16.820864216423697</v>
      </c>
      <c r="S35" s="4">
        <f t="shared" si="23"/>
        <v>8.069014547405217</v>
      </c>
      <c r="T35" s="4">
        <f t="shared" si="24"/>
        <v>8.75184966901848</v>
      </c>
    </row>
    <row r="36" spans="5:20" ht="12.75">
      <c r="E36">
        <f t="shared" si="25"/>
        <v>185</v>
      </c>
      <c r="F36" s="1">
        <f t="shared" si="10"/>
        <v>10.164248621723482</v>
      </c>
      <c r="G36" s="1">
        <f t="shared" si="11"/>
        <v>83.66600265340755</v>
      </c>
      <c r="H36" s="1">
        <f t="shared" si="12"/>
        <v>52.5420433777946</v>
      </c>
      <c r="I36" s="1">
        <f t="shared" si="13"/>
        <v>242.56403599861542</v>
      </c>
      <c r="J36" s="1">
        <f t="shared" si="14"/>
        <v>323.7699613479771</v>
      </c>
      <c r="K36" s="4">
        <f t="shared" si="15"/>
        <v>2.2075224637362076</v>
      </c>
      <c r="L36" s="4">
        <f t="shared" si="16"/>
        <v>2.1683801571931856</v>
      </c>
      <c r="M36" s="4">
        <f t="shared" si="17"/>
        <v>4.196850055951493</v>
      </c>
      <c r="N36" s="4">
        <f t="shared" si="18"/>
        <v>3.3450925080486473</v>
      </c>
      <c r="O36" s="4">
        <f t="shared" si="19"/>
        <v>11.917845184929533</v>
      </c>
      <c r="P36" s="4">
        <f t="shared" si="20"/>
        <v>105.88577382648825</v>
      </c>
      <c r="Q36" s="4">
        <f t="shared" si="21"/>
        <v>4.874608805280415</v>
      </c>
      <c r="R36" s="4">
        <f t="shared" si="22"/>
        <v>16.79245399020995</v>
      </c>
      <c r="S36" s="4">
        <f t="shared" si="23"/>
        <v>8.219701313329063</v>
      </c>
      <c r="T36" s="4">
        <f t="shared" si="24"/>
        <v>8.572752676880885</v>
      </c>
    </row>
    <row r="37" spans="5:20" ht="12.75">
      <c r="E37">
        <f t="shared" si="25"/>
        <v>190</v>
      </c>
      <c r="F37" s="1">
        <f t="shared" si="10"/>
        <v>6.379370208442803</v>
      </c>
      <c r="G37" s="1">
        <f t="shared" si="11"/>
        <v>89.44271909999158</v>
      </c>
      <c r="H37" s="1">
        <f t="shared" si="12"/>
        <v>53.24733726318936</v>
      </c>
      <c r="I37" s="1">
        <f t="shared" si="13"/>
        <v>240.06403599861545</v>
      </c>
      <c r="J37" s="1">
        <f t="shared" si="14"/>
        <v>320.493244901393</v>
      </c>
      <c r="K37" s="4">
        <f t="shared" si="15"/>
        <v>2.1851812152367707</v>
      </c>
      <c r="L37" s="4">
        <f t="shared" si="16"/>
        <v>2.1361548914015245</v>
      </c>
      <c r="M37" s="4">
        <f t="shared" si="17"/>
        <v>4.092472181063858</v>
      </c>
      <c r="N37" s="4">
        <f t="shared" si="18"/>
        <v>3.550709041207343</v>
      </c>
      <c r="O37" s="4">
        <f t="shared" si="19"/>
        <v>11.964517328909496</v>
      </c>
      <c r="P37" s="4">
        <f t="shared" si="20"/>
        <v>105.8310282082349</v>
      </c>
      <c r="Q37" s="4">
        <f t="shared" si="21"/>
        <v>4.805155558841128</v>
      </c>
      <c r="R37" s="4">
        <f t="shared" si="22"/>
        <v>16.769672887750623</v>
      </c>
      <c r="S37" s="4">
        <f t="shared" si="23"/>
        <v>8.355864600048472</v>
      </c>
      <c r="T37" s="4">
        <f t="shared" si="24"/>
        <v>8.413808287702153</v>
      </c>
    </row>
    <row r="38" spans="5:20" ht="12.75">
      <c r="E38">
        <f t="shared" si="25"/>
        <v>195</v>
      </c>
      <c r="F38" s="1">
        <f t="shared" si="10"/>
        <v>3.016961309815992</v>
      </c>
      <c r="G38" s="1">
        <f t="shared" si="11"/>
        <v>94.86832980505139</v>
      </c>
      <c r="H38" s="1">
        <f t="shared" si="12"/>
        <v>53.943410430984244</v>
      </c>
      <c r="I38" s="1">
        <f t="shared" si="13"/>
        <v>237.56403599861542</v>
      </c>
      <c r="J38" s="1">
        <f t="shared" si="14"/>
        <v>317.5676341963332</v>
      </c>
      <c r="K38" s="4">
        <f t="shared" si="15"/>
        <v>2.1652338695204536</v>
      </c>
      <c r="L38" s="4">
        <f t="shared" si="16"/>
        <v>2.104350925271748</v>
      </c>
      <c r="M38" s="4">
        <f t="shared" si="17"/>
        <v>4.001329397874337</v>
      </c>
      <c r="N38" s="4">
        <f t="shared" si="18"/>
        <v>3.7417669307451873</v>
      </c>
      <c r="O38" s="4">
        <f t="shared" si="19"/>
        <v>12.012681123411724</v>
      </c>
      <c r="P38" s="4">
        <f t="shared" si="20"/>
        <v>105.8010177033867</v>
      </c>
      <c r="Q38" s="4">
        <f t="shared" si="21"/>
        <v>4.738805233615178</v>
      </c>
      <c r="R38" s="4">
        <f t="shared" si="22"/>
        <v>16.751486357026906</v>
      </c>
      <c r="S38" s="4">
        <f t="shared" si="23"/>
        <v>8.480572164360366</v>
      </c>
      <c r="T38" s="4">
        <f t="shared" si="24"/>
        <v>8.270914192666538</v>
      </c>
    </row>
    <row r="39" spans="5:20" ht="12.75">
      <c r="E39">
        <f t="shared" si="25"/>
        <v>200</v>
      </c>
      <c r="F39" s="1">
        <f t="shared" si="10"/>
        <v>0</v>
      </c>
      <c r="G39" s="1">
        <f t="shared" si="11"/>
        <v>100</v>
      </c>
      <c r="H39" s="1">
        <f t="shared" si="12"/>
        <v>54.63061533820944</v>
      </c>
      <c r="I39" s="1">
        <f t="shared" si="13"/>
        <v>235.06403599861545</v>
      </c>
      <c r="J39" s="1">
        <f t="shared" si="14"/>
        <v>314.93596400138455</v>
      </c>
      <c r="K39" s="4">
        <f t="shared" si="15"/>
        <v>2.147290663645804</v>
      </c>
      <c r="L39" s="4">
        <f t="shared" si="16"/>
        <v>2.0729521548481666</v>
      </c>
      <c r="M39" s="4">
        <f t="shared" si="17"/>
        <v>3.9208692375570005</v>
      </c>
      <c r="N39" s="4">
        <f t="shared" si="18"/>
        <v>3.9208692375570005</v>
      </c>
      <c r="O39" s="4">
        <f t="shared" si="19"/>
        <v>12.061981293607971</v>
      </c>
      <c r="P39" s="4">
        <f t="shared" si="20"/>
        <v>105.79173169897432</v>
      </c>
      <c r="Q39" s="4">
        <f t="shared" si="21"/>
        <v>4.6751591274634565</v>
      </c>
      <c r="R39" s="4">
        <f t="shared" si="22"/>
        <v>16.73714042107143</v>
      </c>
      <c r="S39" s="4">
        <f t="shared" si="23"/>
        <v>8.596028365020457</v>
      </c>
      <c r="T39" s="4">
        <f t="shared" si="24"/>
        <v>8.141112056050972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C24">
      <selection activeCell="K36" sqref="K36"/>
    </sheetView>
  </sheetViews>
  <sheetFormatPr defaultColWidth="9.140625" defaultRowHeight="12.75"/>
  <sheetData>
    <row r="1" spans="1:3" s="14" customFormat="1" ht="51">
      <c r="A1" s="5" t="s">
        <v>12</v>
      </c>
      <c r="B1" s="5" t="s">
        <v>13</v>
      </c>
      <c r="C1" s="5" t="s">
        <v>14</v>
      </c>
    </row>
    <row r="2" spans="1:3" ht="12.75">
      <c r="A2">
        <v>150</v>
      </c>
      <c r="B2" s="1">
        <f>ASIN((r_1-A2)/(A2-r_0))*180/PI()</f>
        <v>90</v>
      </c>
      <c r="C2" s="1">
        <f>(A2-r_0)*COS(B2*PI()/180)</f>
        <v>3.06287113727155E-15</v>
      </c>
    </row>
    <row r="3" spans="1:3" ht="12.75">
      <c r="A3">
        <v>151</v>
      </c>
      <c r="B3" s="1">
        <f aca="true" t="shared" si="0" ref="B3:B16">ASIN((r_1-A3)/(A3-r_0))*180/PI()</f>
        <v>73.90106604894322</v>
      </c>
      <c r="C3" s="1">
        <f aca="true" t="shared" si="1" ref="C3:C16">(A3-r_0)*COS(B3*PI()/180)</f>
        <v>14.142135623730933</v>
      </c>
    </row>
    <row r="4" spans="1:3" ht="12.75">
      <c r="A4">
        <v>152</v>
      </c>
      <c r="B4" s="1">
        <f t="shared" si="0"/>
        <v>67.38013505195958</v>
      </c>
      <c r="C4" s="1">
        <f t="shared" si="1"/>
        <v>19.999999999999993</v>
      </c>
    </row>
    <row r="5" spans="1:3" ht="12.75">
      <c r="A5">
        <v>153</v>
      </c>
      <c r="B5" s="1">
        <f t="shared" si="0"/>
        <v>62.47291471213317</v>
      </c>
      <c r="C5" s="1">
        <f t="shared" si="1"/>
        <v>24.49489742783178</v>
      </c>
    </row>
    <row r="6" spans="1:3" ht="12.75">
      <c r="A6">
        <v>154</v>
      </c>
      <c r="B6" s="1">
        <f t="shared" si="0"/>
        <v>58.41366190347208</v>
      </c>
      <c r="C6" s="1">
        <f t="shared" si="1"/>
        <v>28.2842712474619</v>
      </c>
    </row>
    <row r="7" spans="1:3" ht="12.75">
      <c r="A7">
        <f>A2+5</f>
        <v>155</v>
      </c>
      <c r="B7" s="1">
        <f t="shared" si="0"/>
        <v>54.90319877241541</v>
      </c>
      <c r="C7" s="1">
        <f t="shared" si="1"/>
        <v>31.622776601683793</v>
      </c>
    </row>
    <row r="8" spans="1:3" ht="12.75">
      <c r="A8" s="12">
        <f aca="true" t="shared" si="2" ref="A8:A16">A7+5</f>
        <v>160</v>
      </c>
      <c r="B8" s="13">
        <f t="shared" si="0"/>
        <v>41.810314895778596</v>
      </c>
      <c r="C8" s="13">
        <f t="shared" si="1"/>
        <v>44.721359549995796</v>
      </c>
    </row>
    <row r="9" spans="1:3" ht="12.75">
      <c r="A9">
        <f t="shared" si="2"/>
        <v>165</v>
      </c>
      <c r="B9" s="1">
        <f t="shared" si="0"/>
        <v>32.57897039280412</v>
      </c>
      <c r="C9" s="1">
        <f t="shared" si="1"/>
        <v>54.77225575051661</v>
      </c>
    </row>
    <row r="10" spans="1:3" ht="12.75">
      <c r="A10">
        <f t="shared" si="2"/>
        <v>170</v>
      </c>
      <c r="B10" s="1">
        <f t="shared" si="0"/>
        <v>25.376933525152296</v>
      </c>
      <c r="C10" s="1">
        <f t="shared" si="1"/>
        <v>63.24555320336759</v>
      </c>
    </row>
    <row r="11" spans="1:3" ht="12.75">
      <c r="A11">
        <f t="shared" si="2"/>
        <v>175</v>
      </c>
      <c r="B11" s="1">
        <f t="shared" si="0"/>
        <v>19.47122063449069</v>
      </c>
      <c r="C11" s="1">
        <f t="shared" si="1"/>
        <v>70.71067811865476</v>
      </c>
    </row>
    <row r="12" spans="1:3" ht="12.75">
      <c r="A12">
        <f t="shared" si="2"/>
        <v>180</v>
      </c>
      <c r="B12" s="1">
        <f t="shared" si="0"/>
        <v>14.477512185929923</v>
      </c>
      <c r="C12" s="1">
        <f t="shared" si="1"/>
        <v>77.45966692414834</v>
      </c>
    </row>
    <row r="13" spans="1:3" ht="12.75">
      <c r="A13">
        <f t="shared" si="2"/>
        <v>185</v>
      </c>
      <c r="B13" s="1">
        <f t="shared" si="0"/>
        <v>10.164248621723482</v>
      </c>
      <c r="C13" s="1">
        <f t="shared" si="1"/>
        <v>83.66600265340755</v>
      </c>
    </row>
    <row r="14" spans="1:3" ht="12.75">
      <c r="A14">
        <f t="shared" si="2"/>
        <v>190</v>
      </c>
      <c r="B14" s="1">
        <f t="shared" si="0"/>
        <v>6.379370208442803</v>
      </c>
      <c r="C14" s="1">
        <f t="shared" si="1"/>
        <v>89.44271909999158</v>
      </c>
    </row>
    <row r="15" spans="1:3" ht="12.75">
      <c r="A15">
        <f t="shared" si="2"/>
        <v>195</v>
      </c>
      <c r="B15" s="1">
        <f t="shared" si="0"/>
        <v>3.016961309815992</v>
      </c>
      <c r="C15" s="1">
        <f t="shared" si="1"/>
        <v>94.86832980505139</v>
      </c>
    </row>
    <row r="16" spans="1:3" ht="12.75">
      <c r="A16">
        <f t="shared" si="2"/>
        <v>200</v>
      </c>
      <c r="B16" s="1">
        <f t="shared" si="0"/>
        <v>0</v>
      </c>
      <c r="C16" s="1">
        <f t="shared" si="1"/>
        <v>100</v>
      </c>
    </row>
    <row r="19" spans="1:11" ht="76.5">
      <c r="A19" s="2" t="s">
        <v>12</v>
      </c>
      <c r="B19" s="2" t="s">
        <v>13</v>
      </c>
      <c r="C19" s="2" t="s">
        <v>14</v>
      </c>
      <c r="D19" s="3" t="s">
        <v>15</v>
      </c>
      <c r="E19" s="3" t="s">
        <v>4</v>
      </c>
      <c r="F19" s="2" t="s">
        <v>5</v>
      </c>
      <c r="G19" s="2" t="s">
        <v>6</v>
      </c>
      <c r="H19" s="2" t="s">
        <v>7</v>
      </c>
      <c r="I19" s="2" t="s">
        <v>66</v>
      </c>
      <c r="J19" s="2" t="s">
        <v>73</v>
      </c>
      <c r="K19" s="2"/>
    </row>
    <row r="20" spans="1:11" ht="12.75">
      <c r="A20">
        <v>150</v>
      </c>
      <c r="B20" s="1">
        <f>ASIN((r_1-A20)/(A20-r_0))*180/PI()</f>
        <v>90</v>
      </c>
      <c r="C20" s="1">
        <f>(A20-r_0)*COS(B20*PI()/180)</f>
        <v>3.06287113727155E-15</v>
      </c>
      <c r="D20" s="1">
        <f>SQRT(g*A20)*mphpfps</f>
        <v>47.23774929733302</v>
      </c>
      <c r="E20" s="1">
        <f>(100*100-D20*D20)*fpspmph2/(2*g)</f>
        <v>261.11111111111114</v>
      </c>
      <c r="F20" s="1">
        <f>chute-E20-C20</f>
        <v>388.88888888888886</v>
      </c>
      <c r="G20" s="4">
        <f>F20/(100*fpspmph)</f>
        <v>2.6515151515151514</v>
      </c>
      <c r="H20" s="4">
        <f>(100-D20)*fpspmph/g</f>
        <v>2.4182698238722367</v>
      </c>
      <c r="I20" s="4">
        <f>(A20*(90+B20)*PI()/180)/(D20*fpspmph)</f>
        <v>6.801747615878317</v>
      </c>
      <c r="J20" s="4">
        <f>I20+H20+G20</f>
        <v>11.871532591265705</v>
      </c>
      <c r="K20" s="4"/>
    </row>
    <row r="21" spans="1:11" ht="12.75">
      <c r="A21">
        <v>151</v>
      </c>
      <c r="B21" s="1">
        <f aca="true" t="shared" si="3" ref="B21:B34">ASIN((r_1-A21)/(A21-r_0))*180/PI()</f>
        <v>73.90106604894322</v>
      </c>
      <c r="C21" s="1">
        <f aca="true" t="shared" si="4" ref="C21:C34">(A21-r_0)*COS(B21*PI()/180)</f>
        <v>14.142135623730933</v>
      </c>
      <c r="D21" s="1">
        <f aca="true" t="shared" si="5" ref="D21:D34">SQRT(g*A21)*mphpfps</f>
        <v>47.39494690086209</v>
      </c>
      <c r="E21" s="1">
        <f aca="true" t="shared" si="6" ref="E21:E34">(100*100-D21*D21)*fpspmph2/(2*g)</f>
        <v>260.61111111111114</v>
      </c>
      <c r="F21" s="1">
        <f aca="true" t="shared" si="7" ref="F21:F34">chute-E21-C21</f>
        <v>375.2467532651579</v>
      </c>
      <c r="G21" s="4">
        <f aca="true" t="shared" si="8" ref="G21:G34">F21/(100*fpspmph)</f>
        <v>2.558500590444259</v>
      </c>
      <c r="H21" s="4">
        <f aca="true" t="shared" si="9" ref="H21:H34">(100-D21)*fpspmph/g</f>
        <v>2.4110649337104872</v>
      </c>
      <c r="I21" s="4">
        <f aca="true" t="shared" si="10" ref="I21:I34">(A21*(90+B21)*PI()/180)/(D21*fpspmph)</f>
        <v>6.21401976669717</v>
      </c>
      <c r="J21" s="4">
        <f aca="true" t="shared" si="11" ref="J21:J34">I21+H21+G21</f>
        <v>11.183585290851918</v>
      </c>
      <c r="K21" s="4"/>
    </row>
    <row r="22" spans="1:11" ht="12.75">
      <c r="A22">
        <v>152</v>
      </c>
      <c r="B22" s="1">
        <f t="shared" si="3"/>
        <v>67.38013505195958</v>
      </c>
      <c r="C22" s="1">
        <f t="shared" si="4"/>
        <v>19.999999999999993</v>
      </c>
      <c r="D22" s="1">
        <f t="shared" si="5"/>
        <v>47.55162483862553</v>
      </c>
      <c r="E22" s="1">
        <f t="shared" si="6"/>
        <v>260.1111111111111</v>
      </c>
      <c r="F22" s="1">
        <f t="shared" si="7"/>
        <v>369.8888888888889</v>
      </c>
      <c r="G22" s="4">
        <f t="shared" si="8"/>
        <v>2.5219696969696974</v>
      </c>
      <c r="H22" s="4">
        <f t="shared" si="9"/>
        <v>2.4038838615629965</v>
      </c>
      <c r="I22" s="4">
        <f t="shared" si="10"/>
        <v>5.986515152094582</v>
      </c>
      <c r="J22" s="4">
        <f t="shared" si="11"/>
        <v>10.912368710627277</v>
      </c>
      <c r="K22" s="4"/>
    </row>
    <row r="23" spans="1:11" ht="12.75">
      <c r="A23">
        <v>153</v>
      </c>
      <c r="B23" s="1">
        <f t="shared" si="3"/>
        <v>62.47291471213317</v>
      </c>
      <c r="C23" s="1">
        <f t="shared" si="4"/>
        <v>24.49489742783178</v>
      </c>
      <c r="D23" s="1">
        <f t="shared" si="5"/>
        <v>47.70778823055245</v>
      </c>
      <c r="E23" s="1">
        <f t="shared" si="6"/>
        <v>259.61111111111114</v>
      </c>
      <c r="F23" s="1">
        <f t="shared" si="7"/>
        <v>365.89399146105706</v>
      </c>
      <c r="G23" s="4">
        <f t="shared" si="8"/>
        <v>2.494731759961753</v>
      </c>
      <c r="H23" s="4">
        <f t="shared" si="9"/>
        <v>2.396726372766346</v>
      </c>
      <c r="I23" s="4">
        <f t="shared" si="10"/>
        <v>5.818898694472993</v>
      </c>
      <c r="J23" s="4">
        <f t="shared" si="11"/>
        <v>10.710356827201092</v>
      </c>
      <c r="K23" s="4"/>
    </row>
    <row r="24" spans="1:11" ht="12.75">
      <c r="A24">
        <v>154</v>
      </c>
      <c r="B24" s="1">
        <f t="shared" si="3"/>
        <v>58.41366190347208</v>
      </c>
      <c r="C24" s="1">
        <f t="shared" si="4"/>
        <v>28.2842712474619</v>
      </c>
      <c r="D24" s="1">
        <f t="shared" si="5"/>
        <v>47.86344211304794</v>
      </c>
      <c r="E24" s="1">
        <f t="shared" si="6"/>
        <v>259.11111111111114</v>
      </c>
      <c r="F24" s="1">
        <f t="shared" si="7"/>
        <v>362.60461764142696</v>
      </c>
      <c r="G24" s="4">
        <f t="shared" si="8"/>
        <v>2.4723042111915476</v>
      </c>
      <c r="H24" s="4">
        <f t="shared" si="9"/>
        <v>2.389592236485303</v>
      </c>
      <c r="I24" s="4">
        <f t="shared" si="10"/>
        <v>5.682463040353885</v>
      </c>
      <c r="J24" s="4">
        <f t="shared" si="11"/>
        <v>10.544359488030734</v>
      </c>
      <c r="K24" s="4"/>
    </row>
    <row r="25" spans="1:11" ht="12.75">
      <c r="A25">
        <f>A20+5</f>
        <v>155</v>
      </c>
      <c r="B25" s="1">
        <f t="shared" si="3"/>
        <v>54.90319877241541</v>
      </c>
      <c r="C25" s="1">
        <f t="shared" si="4"/>
        <v>31.622776601683793</v>
      </c>
      <c r="D25" s="1">
        <f t="shared" si="5"/>
        <v>48.0185914408882</v>
      </c>
      <c r="E25" s="1">
        <f t="shared" si="6"/>
        <v>258.61111111111114</v>
      </c>
      <c r="F25" s="1">
        <f t="shared" si="7"/>
        <v>359.7661122872051</v>
      </c>
      <c r="G25" s="4">
        <f t="shared" si="8"/>
        <v>2.45295076559458</v>
      </c>
      <c r="H25" s="4">
        <f t="shared" si="9"/>
        <v>2.3824812256259573</v>
      </c>
      <c r="I25" s="4">
        <f t="shared" si="10"/>
        <v>5.566038426250832</v>
      </c>
      <c r="J25" s="4">
        <f t="shared" si="11"/>
        <v>10.40147041747137</v>
      </c>
      <c r="K25" s="4"/>
    </row>
    <row r="26" spans="1:11" ht="12.75">
      <c r="A26" s="12">
        <f aca="true" t="shared" si="12" ref="A26:A34">A25+5</f>
        <v>160</v>
      </c>
      <c r="B26" s="13">
        <f t="shared" si="3"/>
        <v>41.810314895778596</v>
      </c>
      <c r="C26" s="13">
        <f t="shared" si="4"/>
        <v>44.721359549995796</v>
      </c>
      <c r="D26" s="13">
        <f t="shared" si="5"/>
        <v>48.7869376909045</v>
      </c>
      <c r="E26" s="13">
        <f t="shared" si="6"/>
        <v>256.11111111111114</v>
      </c>
      <c r="F26" s="13">
        <f t="shared" si="7"/>
        <v>349.1675293388931</v>
      </c>
      <c r="G26" s="15">
        <f t="shared" si="8"/>
        <v>2.3806877000379076</v>
      </c>
      <c r="H26" s="15">
        <f t="shared" si="9"/>
        <v>2.3472653558335437</v>
      </c>
      <c r="I26" s="15">
        <f t="shared" si="10"/>
        <v>5.144128009905457</v>
      </c>
      <c r="J26" s="4">
        <f t="shared" si="11"/>
        <v>9.872081065776907</v>
      </c>
      <c r="K26" s="4"/>
    </row>
    <row r="27" spans="1:11" ht="12.75">
      <c r="A27">
        <f t="shared" si="12"/>
        <v>165</v>
      </c>
      <c r="B27" s="1">
        <f t="shared" si="3"/>
        <v>32.57897039280412</v>
      </c>
      <c r="C27" s="1">
        <f t="shared" si="4"/>
        <v>54.77225575051661</v>
      </c>
      <c r="D27" s="1">
        <f t="shared" si="5"/>
        <v>49.54336943068622</v>
      </c>
      <c r="E27" s="1">
        <f t="shared" si="6"/>
        <v>253.61111111111114</v>
      </c>
      <c r="F27" s="1">
        <f t="shared" si="7"/>
        <v>341.61663313837226</v>
      </c>
      <c r="G27" s="4">
        <f t="shared" si="8"/>
        <v>2.3292043168525383</v>
      </c>
      <c r="H27" s="4">
        <f t="shared" si="9"/>
        <v>2.312595567760215</v>
      </c>
      <c r="I27" s="4">
        <f t="shared" si="10"/>
        <v>4.8580314239804565</v>
      </c>
      <c r="J27" s="4">
        <f t="shared" si="11"/>
        <v>9.49983130859321</v>
      </c>
      <c r="K27" s="4"/>
    </row>
    <row r="28" spans="1:11" ht="12.75">
      <c r="A28">
        <f t="shared" si="12"/>
        <v>170</v>
      </c>
      <c r="B28" s="1">
        <f t="shared" si="3"/>
        <v>25.376933525152296</v>
      </c>
      <c r="C28" s="1">
        <f t="shared" si="4"/>
        <v>63.24555320336759</v>
      </c>
      <c r="D28" s="1">
        <f t="shared" si="5"/>
        <v>50.288424312506656</v>
      </c>
      <c r="E28" s="1">
        <f t="shared" si="6"/>
        <v>251.11111111111114</v>
      </c>
      <c r="F28" s="1">
        <f t="shared" si="7"/>
        <v>335.64333568552127</v>
      </c>
      <c r="G28" s="4">
        <f t="shared" si="8"/>
        <v>2.288477288764918</v>
      </c>
      <c r="H28" s="4">
        <f t="shared" si="9"/>
        <v>2.2784472190101113</v>
      </c>
      <c r="I28" s="4">
        <f t="shared" si="10"/>
        <v>4.641366157425209</v>
      </c>
      <c r="J28" s="4">
        <f t="shared" si="11"/>
        <v>9.208290665200238</v>
      </c>
      <c r="K28" s="4"/>
    </row>
    <row r="29" spans="1:11" ht="12.75">
      <c r="A29">
        <f t="shared" si="12"/>
        <v>175</v>
      </c>
      <c r="B29" s="1">
        <f t="shared" si="3"/>
        <v>19.47122063449069</v>
      </c>
      <c r="C29" s="1">
        <f t="shared" si="4"/>
        <v>70.71067811865476</v>
      </c>
      <c r="D29" s="1">
        <f t="shared" si="5"/>
        <v>51.02260072873556</v>
      </c>
      <c r="E29" s="1">
        <f t="shared" si="6"/>
        <v>248.61111111111114</v>
      </c>
      <c r="F29" s="1">
        <f t="shared" si="7"/>
        <v>330.6782107702341</v>
      </c>
      <c r="G29" s="4">
        <f t="shared" si="8"/>
        <v>2.2546241643425056</v>
      </c>
      <c r="H29" s="4">
        <f t="shared" si="9"/>
        <v>2.24479746659962</v>
      </c>
      <c r="I29" s="4">
        <f t="shared" si="10"/>
        <v>4.468084351141838</v>
      </c>
      <c r="J29" s="4">
        <f t="shared" si="11"/>
        <v>8.967505982083964</v>
      </c>
      <c r="K29" s="4"/>
    </row>
    <row r="30" spans="1:11" ht="12.75">
      <c r="A30">
        <f t="shared" si="12"/>
        <v>180</v>
      </c>
      <c r="B30" s="1">
        <f t="shared" si="3"/>
        <v>14.477512185929923</v>
      </c>
      <c r="C30" s="1">
        <f t="shared" si="4"/>
        <v>77.45966692414834</v>
      </c>
      <c r="D30" s="1">
        <f t="shared" si="5"/>
        <v>51.746361711846205</v>
      </c>
      <c r="E30" s="1">
        <f t="shared" si="6"/>
        <v>246.11111111111114</v>
      </c>
      <c r="F30" s="1">
        <f t="shared" si="7"/>
        <v>326.4292219647405</v>
      </c>
      <c r="G30" s="4">
        <f t="shared" si="8"/>
        <v>2.225653786123231</v>
      </c>
      <c r="H30" s="4">
        <f t="shared" si="9"/>
        <v>2.211625088207049</v>
      </c>
      <c r="I30" s="4">
        <f t="shared" si="10"/>
        <v>4.32475444417462</v>
      </c>
      <c r="J30" s="4">
        <f t="shared" si="11"/>
        <v>8.762033318504901</v>
      </c>
      <c r="K30" s="4"/>
    </row>
    <row r="31" spans="1:11" ht="12.75">
      <c r="A31">
        <f t="shared" si="12"/>
        <v>185</v>
      </c>
      <c r="B31" s="1">
        <f t="shared" si="3"/>
        <v>10.164248621723482</v>
      </c>
      <c r="C31" s="1">
        <f t="shared" si="4"/>
        <v>83.66600265340755</v>
      </c>
      <c r="D31" s="1">
        <f t="shared" si="5"/>
        <v>52.46013835001275</v>
      </c>
      <c r="E31" s="1">
        <f t="shared" si="6"/>
        <v>243.61111111111114</v>
      </c>
      <c r="F31" s="1">
        <f t="shared" si="7"/>
        <v>322.7228862354813</v>
      </c>
      <c r="G31" s="4">
        <f t="shared" si="8"/>
        <v>2.2003833152419183</v>
      </c>
      <c r="H31" s="4">
        <f t="shared" si="9"/>
        <v>2.1789103256244156</v>
      </c>
      <c r="I31" s="4">
        <f t="shared" si="10"/>
        <v>4.203402519045195</v>
      </c>
      <c r="J31" s="4">
        <f t="shared" si="11"/>
        <v>8.582696159911528</v>
      </c>
      <c r="K31" s="4"/>
    </row>
    <row r="32" spans="1:11" ht="12.75">
      <c r="A32">
        <f t="shared" si="12"/>
        <v>190</v>
      </c>
      <c r="B32" s="1">
        <f t="shared" si="3"/>
        <v>6.379370208442803</v>
      </c>
      <c r="C32" s="1">
        <f t="shared" si="4"/>
        <v>89.44271909999158</v>
      </c>
      <c r="D32" s="1">
        <f t="shared" si="5"/>
        <v>53.16433278986707</v>
      </c>
      <c r="E32" s="1">
        <f t="shared" si="6"/>
        <v>241.11111111111114</v>
      </c>
      <c r="F32" s="1">
        <f t="shared" si="7"/>
        <v>319.4461697888973</v>
      </c>
      <c r="G32" s="4">
        <f t="shared" si="8"/>
        <v>2.178042066742482</v>
      </c>
      <c r="H32" s="4">
        <f t="shared" si="9"/>
        <v>2.1466347471310927</v>
      </c>
      <c r="I32" s="4">
        <f t="shared" si="10"/>
        <v>4.098861680943749</v>
      </c>
      <c r="J32" s="4">
        <f t="shared" si="11"/>
        <v>8.423538494817324</v>
      </c>
      <c r="K32" s="4"/>
    </row>
    <row r="33" spans="1:11" ht="12.75">
      <c r="A33">
        <f t="shared" si="12"/>
        <v>195</v>
      </c>
      <c r="B33" s="1">
        <f t="shared" si="3"/>
        <v>3.016961309815992</v>
      </c>
      <c r="C33" s="1">
        <f t="shared" si="4"/>
        <v>94.86832980505139</v>
      </c>
      <c r="D33" s="1">
        <f t="shared" si="5"/>
        <v>53.85932088581317</v>
      </c>
      <c r="E33" s="1">
        <f t="shared" si="6"/>
        <v>238.61111111111114</v>
      </c>
      <c r="F33" s="1">
        <f t="shared" si="7"/>
        <v>316.5205590838375</v>
      </c>
      <c r="G33" s="4">
        <f t="shared" si="8"/>
        <v>2.1580947210261647</v>
      </c>
      <c r="H33" s="4">
        <f t="shared" si="9"/>
        <v>2.1147811260668963</v>
      </c>
      <c r="I33" s="4">
        <f t="shared" si="10"/>
        <v>4.007576598240273</v>
      </c>
      <c r="J33" s="4">
        <f t="shared" si="11"/>
        <v>8.280452445333333</v>
      </c>
      <c r="K33" s="4"/>
    </row>
    <row r="34" spans="1:11" ht="12.75">
      <c r="A34">
        <f t="shared" si="12"/>
        <v>200</v>
      </c>
      <c r="B34" s="1">
        <f t="shared" si="3"/>
        <v>0</v>
      </c>
      <c r="C34" s="1">
        <f t="shared" si="4"/>
        <v>100</v>
      </c>
      <c r="D34" s="1">
        <f t="shared" si="5"/>
        <v>54.54545454545454</v>
      </c>
      <c r="E34" s="1">
        <f t="shared" si="6"/>
        <v>236.11111111111114</v>
      </c>
      <c r="F34" s="1">
        <f t="shared" si="7"/>
        <v>313.88888888888886</v>
      </c>
      <c r="G34" s="4">
        <f t="shared" si="8"/>
        <v>2.140151515151515</v>
      </c>
      <c r="H34" s="4">
        <f t="shared" si="9"/>
        <v>2.0833333333333335</v>
      </c>
      <c r="I34" s="4">
        <f t="shared" si="10"/>
        <v>3.9269908169872423</v>
      </c>
      <c r="J34" s="4">
        <f t="shared" si="11"/>
        <v>8.150475665472092</v>
      </c>
      <c r="K34" s="4"/>
    </row>
    <row r="36" spans="1:17" ht="76.5">
      <c r="A36" s="2" t="s">
        <v>12</v>
      </c>
      <c r="B36" s="2" t="s">
        <v>13</v>
      </c>
      <c r="C36" s="2" t="s">
        <v>14</v>
      </c>
      <c r="D36" s="3" t="s">
        <v>15</v>
      </c>
      <c r="E36" s="3" t="s">
        <v>4</v>
      </c>
      <c r="F36" s="2" t="s">
        <v>5</v>
      </c>
      <c r="G36" s="2" t="s">
        <v>6</v>
      </c>
      <c r="H36" s="2" t="s">
        <v>7</v>
      </c>
      <c r="I36" s="2" t="s">
        <v>66</v>
      </c>
      <c r="J36" s="2" t="s">
        <v>67</v>
      </c>
      <c r="K36" s="2" t="s">
        <v>75</v>
      </c>
      <c r="L36" s="2" t="s">
        <v>74</v>
      </c>
      <c r="M36" s="2" t="s">
        <v>68</v>
      </c>
      <c r="N36" s="2" t="s">
        <v>69</v>
      </c>
      <c r="O36" s="2" t="s">
        <v>70</v>
      </c>
      <c r="P36" s="2" t="s">
        <v>71</v>
      </c>
      <c r="Q36" s="2" t="s">
        <v>72</v>
      </c>
    </row>
    <row r="37" spans="1:17" ht="12.75">
      <c r="A37">
        <v>150</v>
      </c>
      <c r="B37" s="1">
        <f>ASIN((r_1-A37)/(A37-r_0))*180/PI()</f>
        <v>90</v>
      </c>
      <c r="C37" s="1">
        <f>(A37-r_0)*COS(B37*PI()/180)</f>
        <v>3.06287113727155E-15</v>
      </c>
      <c r="D37" s="1">
        <f>SQRT(g*A37)*mphpfps</f>
        <v>47.23774929733302</v>
      </c>
      <c r="E37" s="1">
        <f>(100*100-D37*D37)*fpspmph2/(2*g)</f>
        <v>261.11111111111114</v>
      </c>
      <c r="F37" s="1">
        <f>chute-E37-C37</f>
        <v>388.88888888888886</v>
      </c>
      <c r="G37" s="4">
        <f>F37/(100*fpspmph)</f>
        <v>2.6515151515151514</v>
      </c>
      <c r="H37" s="4">
        <f>(100-D37)*fpspmph/g</f>
        <v>2.4182698238722367</v>
      </c>
      <c r="I37" s="4">
        <f>(A37*(90+B37)*PI()/180)/(D37*fpspmph)</f>
        <v>6.801747615878317</v>
      </c>
      <c r="J37" s="4">
        <f>(A37*(90-B37)*PI()/180)/(D37*fpspmph)</f>
        <v>0</v>
      </c>
      <c r="K37" s="4">
        <f>I37+J37</f>
        <v>6.801747615878317</v>
      </c>
      <c r="L37" s="4">
        <f>J37+I37+H37+G37</f>
        <v>11.871532591265705</v>
      </c>
      <c r="M37" s="4">
        <f>SQRT((chute-C37)*g+D37*D37*fpspmph2)*mphpfps</f>
        <v>109.09090909090908</v>
      </c>
      <c r="N37" s="4">
        <f>(M37-D37)*fpspmph/(g/2)</f>
        <v>5.6698729810778055</v>
      </c>
      <c r="O37" s="4">
        <f>N37+J37+I37+H37+G37</f>
        <v>17.54140557234351</v>
      </c>
      <c r="P37" s="4">
        <f>J37+N37</f>
        <v>5.6698729810778055</v>
      </c>
      <c r="Q37" s="4">
        <f>I37+H37+G37</f>
        <v>11.871532591265705</v>
      </c>
    </row>
    <row r="38" spans="1:17" ht="12.75">
      <c r="A38">
        <v>151</v>
      </c>
      <c r="B38" s="1">
        <f aca="true" t="shared" si="13" ref="B38:B51">ASIN((r_1-A38)/(A38-r_0))*180/PI()</f>
        <v>73.90106604894322</v>
      </c>
      <c r="C38" s="1">
        <f aca="true" t="shared" si="14" ref="C38:C51">(A38-r_0)*COS(B38*PI()/180)</f>
        <v>14.142135623730933</v>
      </c>
      <c r="D38" s="1">
        <f aca="true" t="shared" si="15" ref="D38:D51">SQRT(g*A38)*mphpfps</f>
        <v>47.39494690086209</v>
      </c>
      <c r="E38" s="1">
        <f aca="true" t="shared" si="16" ref="E38:E51">(100*100-D38*D38)*fpspmph2/(2*g)</f>
        <v>260.61111111111114</v>
      </c>
      <c r="F38" s="1">
        <f aca="true" t="shared" si="17" ref="F38:F51">chute-E38-C38</f>
        <v>375.2467532651579</v>
      </c>
      <c r="G38" s="4">
        <f aca="true" t="shared" si="18" ref="G38:G51">F38/(100*fpspmph)</f>
        <v>2.558500590444259</v>
      </c>
      <c r="H38" s="4">
        <f aca="true" t="shared" si="19" ref="H38:H51">(100-D38)*fpspmph/g</f>
        <v>2.4110649337104872</v>
      </c>
      <c r="I38" s="4">
        <f aca="true" t="shared" si="20" ref="I38:I51">(A38*(90+B38)*PI()/180)/(D38*fpspmph)</f>
        <v>6.21401976669717</v>
      </c>
      <c r="J38" s="4">
        <f aca="true" t="shared" si="21" ref="J38:J51">(A38*(90-B38)*PI()/180)/(D38*fpspmph)</f>
        <v>0.6103626791832206</v>
      </c>
      <c r="K38" s="4">
        <f aca="true" t="shared" si="22" ref="K38:K51">I38+J38</f>
        <v>6.82438244588039</v>
      </c>
      <c r="L38" s="4">
        <f aca="true" t="shared" si="23" ref="L38:L51">J38+I38+H38+G38</f>
        <v>11.793947970035136</v>
      </c>
      <c r="M38" s="4">
        <f aca="true" t="shared" si="24" ref="M38:M51">SQRT((chute-C38)*g+D38*D38*fpspmph2)*mphpfps</f>
        <v>108.19114382559971</v>
      </c>
      <c r="N38" s="4">
        <f aca="true" t="shared" si="25" ref="N38:N51">(M38-D38)*fpspmph/(g/2)</f>
        <v>5.572984718100948</v>
      </c>
      <c r="O38" s="4">
        <f aca="true" t="shared" si="26" ref="O38:O51">N38+J38+I38+H38+G38</f>
        <v>17.366932688136085</v>
      </c>
      <c r="P38" s="4">
        <f aca="true" t="shared" si="27" ref="P38:P51">J38+N38</f>
        <v>6.1833473972841695</v>
      </c>
      <c r="Q38" s="4">
        <f aca="true" t="shared" si="28" ref="Q38:Q51">I38+H38+G38</f>
        <v>11.183585290851918</v>
      </c>
    </row>
    <row r="39" spans="1:17" ht="12.75">
      <c r="A39">
        <v>152</v>
      </c>
      <c r="B39" s="1">
        <f t="shared" si="13"/>
        <v>67.38013505195958</v>
      </c>
      <c r="C39" s="1">
        <f t="shared" si="14"/>
        <v>19.999999999999993</v>
      </c>
      <c r="D39" s="1">
        <f t="shared" si="15"/>
        <v>47.55162483862553</v>
      </c>
      <c r="E39" s="1">
        <f t="shared" si="16"/>
        <v>260.1111111111111</v>
      </c>
      <c r="F39" s="1">
        <f t="shared" si="17"/>
        <v>369.8888888888889</v>
      </c>
      <c r="G39" s="4">
        <f t="shared" si="18"/>
        <v>2.5219696969696974</v>
      </c>
      <c r="H39" s="4">
        <f t="shared" si="19"/>
        <v>2.4038838615629965</v>
      </c>
      <c r="I39" s="4">
        <f t="shared" si="20"/>
        <v>5.986515152094582</v>
      </c>
      <c r="J39" s="4">
        <f t="shared" si="21"/>
        <v>0.8604272972892647</v>
      </c>
      <c r="K39" s="4">
        <f t="shared" si="22"/>
        <v>6.846942449383847</v>
      </c>
      <c r="L39" s="4">
        <f t="shared" si="23"/>
        <v>11.77279600791654</v>
      </c>
      <c r="M39" s="4">
        <f t="shared" si="24"/>
        <v>107.85665418155557</v>
      </c>
      <c r="N39" s="4">
        <f t="shared" si="25"/>
        <v>5.52796102310192</v>
      </c>
      <c r="O39" s="4">
        <f t="shared" si="26"/>
        <v>17.30075703101846</v>
      </c>
      <c r="P39" s="4">
        <f t="shared" si="27"/>
        <v>6.388388320391185</v>
      </c>
      <c r="Q39" s="4">
        <f t="shared" si="28"/>
        <v>10.912368710627277</v>
      </c>
    </row>
    <row r="40" spans="1:17" ht="12.75">
      <c r="A40">
        <v>153</v>
      </c>
      <c r="B40" s="1">
        <f t="shared" si="13"/>
        <v>62.47291471213317</v>
      </c>
      <c r="C40" s="1">
        <f t="shared" si="14"/>
        <v>24.49489742783178</v>
      </c>
      <c r="D40" s="1">
        <f t="shared" si="15"/>
        <v>47.70778823055245</v>
      </c>
      <c r="E40" s="1">
        <f t="shared" si="16"/>
        <v>259.61111111111114</v>
      </c>
      <c r="F40" s="1">
        <f t="shared" si="17"/>
        <v>365.89399146105706</v>
      </c>
      <c r="G40" s="4">
        <f t="shared" si="18"/>
        <v>2.494731759961753</v>
      </c>
      <c r="H40" s="4">
        <f t="shared" si="19"/>
        <v>2.396726372766346</v>
      </c>
      <c r="I40" s="4">
        <f t="shared" si="20"/>
        <v>5.818898694472993</v>
      </c>
      <c r="J40" s="4">
        <f t="shared" si="21"/>
        <v>1.0505296691325647</v>
      </c>
      <c r="K40" s="4">
        <f t="shared" si="22"/>
        <v>6.869428363605557</v>
      </c>
      <c r="L40" s="4">
        <f t="shared" si="23"/>
        <v>11.760886496333654</v>
      </c>
      <c r="M40" s="4">
        <f t="shared" si="24"/>
        <v>107.6153689840324</v>
      </c>
      <c r="N40" s="4">
        <f t="shared" si="25"/>
        <v>5.491528235735662</v>
      </c>
      <c r="O40" s="4">
        <f t="shared" si="26"/>
        <v>17.252414732069315</v>
      </c>
      <c r="P40" s="4">
        <f t="shared" si="27"/>
        <v>6.542057904868226</v>
      </c>
      <c r="Q40" s="4">
        <f t="shared" si="28"/>
        <v>10.710356827201092</v>
      </c>
    </row>
    <row r="41" spans="1:17" ht="12.75">
      <c r="A41">
        <v>154</v>
      </c>
      <c r="B41" s="1">
        <f t="shared" si="13"/>
        <v>58.41366190347208</v>
      </c>
      <c r="C41" s="1">
        <f t="shared" si="14"/>
        <v>28.2842712474619</v>
      </c>
      <c r="D41" s="1">
        <f t="shared" si="15"/>
        <v>47.86344211304794</v>
      </c>
      <c r="E41" s="1">
        <f t="shared" si="16"/>
        <v>259.11111111111114</v>
      </c>
      <c r="F41" s="1">
        <f t="shared" si="17"/>
        <v>362.60461764142696</v>
      </c>
      <c r="G41" s="4">
        <f t="shared" si="18"/>
        <v>2.4723042111915476</v>
      </c>
      <c r="H41" s="4">
        <f t="shared" si="19"/>
        <v>2.389592236485303</v>
      </c>
      <c r="I41" s="4">
        <f t="shared" si="20"/>
        <v>5.682463040353885</v>
      </c>
      <c r="J41" s="4">
        <f t="shared" si="21"/>
        <v>1.209377873381903</v>
      </c>
      <c r="K41" s="4">
        <f t="shared" si="22"/>
        <v>6.891840913735788</v>
      </c>
      <c r="L41" s="4">
        <f t="shared" si="23"/>
        <v>11.753737361412638</v>
      </c>
      <c r="M41" s="4">
        <f t="shared" si="24"/>
        <v>107.42240373598945</v>
      </c>
      <c r="N41" s="4">
        <f t="shared" si="25"/>
        <v>5.459571482102971</v>
      </c>
      <c r="O41" s="4">
        <f t="shared" si="26"/>
        <v>17.21330884351561</v>
      </c>
      <c r="P41" s="4">
        <f t="shared" si="27"/>
        <v>6.668949355484874</v>
      </c>
      <c r="Q41" s="4">
        <f t="shared" si="28"/>
        <v>10.544359488030734</v>
      </c>
    </row>
    <row r="42" spans="1:17" ht="12.75">
      <c r="A42">
        <f>A37+5</f>
        <v>155</v>
      </c>
      <c r="B42" s="1">
        <f t="shared" si="13"/>
        <v>54.90319877241541</v>
      </c>
      <c r="C42" s="1">
        <f t="shared" si="14"/>
        <v>31.622776601683793</v>
      </c>
      <c r="D42" s="1">
        <f t="shared" si="15"/>
        <v>48.0185914408882</v>
      </c>
      <c r="E42" s="1">
        <f t="shared" si="16"/>
        <v>258.61111111111114</v>
      </c>
      <c r="F42" s="1">
        <f t="shared" si="17"/>
        <v>359.7661122872051</v>
      </c>
      <c r="G42" s="4">
        <f t="shared" si="18"/>
        <v>2.45295076559458</v>
      </c>
      <c r="H42" s="4">
        <f t="shared" si="19"/>
        <v>2.3824812256259573</v>
      </c>
      <c r="I42" s="4">
        <f t="shared" si="20"/>
        <v>5.566038426250832</v>
      </c>
      <c r="J42" s="4">
        <f t="shared" si="21"/>
        <v>1.3481423869602744</v>
      </c>
      <c r="K42" s="4">
        <f t="shared" si="22"/>
        <v>6.9141808132111064</v>
      </c>
      <c r="L42" s="4">
        <f t="shared" si="23"/>
        <v>11.749612804431642</v>
      </c>
      <c r="M42" s="4">
        <f t="shared" si="24"/>
        <v>107.26036146434784</v>
      </c>
      <c r="N42" s="4">
        <f t="shared" si="25"/>
        <v>5.4304955854838</v>
      </c>
      <c r="O42" s="4">
        <f t="shared" si="26"/>
        <v>17.180108389915443</v>
      </c>
      <c r="P42" s="4">
        <f t="shared" si="27"/>
        <v>6.778637972444074</v>
      </c>
      <c r="Q42" s="4">
        <f t="shared" si="28"/>
        <v>10.40147041747137</v>
      </c>
    </row>
    <row r="43" spans="1:17" s="12" customFormat="1" ht="12.75">
      <c r="A43" s="12">
        <f aca="true" t="shared" si="29" ref="A43:A51">A42+5</f>
        <v>160</v>
      </c>
      <c r="B43" s="13">
        <f t="shared" si="13"/>
        <v>41.810314895778596</v>
      </c>
      <c r="C43" s="13">
        <f t="shared" si="14"/>
        <v>44.721359549995796</v>
      </c>
      <c r="D43" s="13">
        <f t="shared" si="15"/>
        <v>48.7869376909045</v>
      </c>
      <c r="E43" s="13">
        <f t="shared" si="16"/>
        <v>256.11111111111114</v>
      </c>
      <c r="F43" s="13">
        <f t="shared" si="17"/>
        <v>349.1675293388931</v>
      </c>
      <c r="G43" s="15">
        <f t="shared" si="18"/>
        <v>2.3806877000379076</v>
      </c>
      <c r="H43" s="15">
        <f t="shared" si="19"/>
        <v>2.3472653558335437</v>
      </c>
      <c r="I43" s="15">
        <f t="shared" si="20"/>
        <v>5.144128009905457</v>
      </c>
      <c r="J43" s="15">
        <f t="shared" si="21"/>
        <v>1.8806867211352691</v>
      </c>
      <c r="K43" s="4">
        <f t="shared" si="22"/>
        <v>7.024814731040726</v>
      </c>
      <c r="L43" s="15">
        <f t="shared" si="23"/>
        <v>11.752767786912177</v>
      </c>
      <c r="M43" s="15">
        <f t="shared" si="24"/>
        <v>106.69728372269705</v>
      </c>
      <c r="N43" s="15">
        <f t="shared" si="25"/>
        <v>5.30844838624765</v>
      </c>
      <c r="O43" s="15">
        <f t="shared" si="26"/>
        <v>17.061216173159828</v>
      </c>
      <c r="P43" s="15">
        <f t="shared" si="27"/>
        <v>7.189135107382919</v>
      </c>
      <c r="Q43" s="15">
        <f t="shared" si="28"/>
        <v>9.872081065776907</v>
      </c>
    </row>
    <row r="44" spans="1:17" ht="12.75">
      <c r="A44">
        <f t="shared" si="29"/>
        <v>165</v>
      </c>
      <c r="B44" s="1">
        <f t="shared" si="13"/>
        <v>32.57897039280412</v>
      </c>
      <c r="C44" s="1">
        <f t="shared" si="14"/>
        <v>54.77225575051661</v>
      </c>
      <c r="D44" s="1">
        <f t="shared" si="15"/>
        <v>49.54336943068622</v>
      </c>
      <c r="E44" s="1">
        <f t="shared" si="16"/>
        <v>253.61111111111114</v>
      </c>
      <c r="F44" s="1">
        <f t="shared" si="17"/>
        <v>341.61663313837226</v>
      </c>
      <c r="G44" s="4">
        <f t="shared" si="18"/>
        <v>2.3292043168525383</v>
      </c>
      <c r="H44" s="4">
        <f t="shared" si="19"/>
        <v>2.312595567760215</v>
      </c>
      <c r="I44" s="4">
        <f t="shared" si="20"/>
        <v>4.8580314239804565</v>
      </c>
      <c r="J44" s="4">
        <f t="shared" si="21"/>
        <v>2.275701658572957</v>
      </c>
      <c r="K44" s="4">
        <f t="shared" si="22"/>
        <v>7.133733082553413</v>
      </c>
      <c r="L44" s="4">
        <f t="shared" si="23"/>
        <v>11.775532967166166</v>
      </c>
      <c r="M44" s="4">
        <f t="shared" si="24"/>
        <v>106.34459579570083</v>
      </c>
      <c r="N44" s="4">
        <f t="shared" si="25"/>
        <v>5.206779083459672</v>
      </c>
      <c r="O44" s="4">
        <f t="shared" si="26"/>
        <v>16.98231205062584</v>
      </c>
      <c r="P44" s="4">
        <f t="shared" si="27"/>
        <v>7.482480742032629</v>
      </c>
      <c r="Q44" s="4">
        <f t="shared" si="28"/>
        <v>9.49983130859321</v>
      </c>
    </row>
    <row r="45" spans="1:17" ht="12.75">
      <c r="A45">
        <f t="shared" si="29"/>
        <v>170</v>
      </c>
      <c r="B45" s="1">
        <f t="shared" si="13"/>
        <v>25.376933525152296</v>
      </c>
      <c r="C45" s="1">
        <f t="shared" si="14"/>
        <v>63.24555320336759</v>
      </c>
      <c r="D45" s="1">
        <f t="shared" si="15"/>
        <v>50.288424312506656</v>
      </c>
      <c r="E45" s="1">
        <f t="shared" si="16"/>
        <v>251.11111111111114</v>
      </c>
      <c r="F45" s="1">
        <f t="shared" si="17"/>
        <v>335.64333568552127</v>
      </c>
      <c r="G45" s="4">
        <f t="shared" si="18"/>
        <v>2.288477288764918</v>
      </c>
      <c r="H45" s="4">
        <f t="shared" si="19"/>
        <v>2.2784472190101113</v>
      </c>
      <c r="I45" s="4">
        <f t="shared" si="20"/>
        <v>4.641366157425209</v>
      </c>
      <c r="J45" s="4">
        <f t="shared" si="21"/>
        <v>2.5996471266937484</v>
      </c>
      <c r="K45" s="4">
        <f t="shared" si="22"/>
        <v>7.241013284118958</v>
      </c>
      <c r="L45" s="4">
        <f t="shared" si="23"/>
        <v>11.807937791893988</v>
      </c>
      <c r="M45" s="4">
        <f t="shared" si="24"/>
        <v>106.10138626437747</v>
      </c>
      <c r="N45" s="4">
        <f t="shared" si="25"/>
        <v>5.11618817892149</v>
      </c>
      <c r="O45" s="4">
        <f t="shared" si="26"/>
        <v>16.924125970815474</v>
      </c>
      <c r="P45" s="4">
        <f t="shared" si="27"/>
        <v>7.715835305615238</v>
      </c>
      <c r="Q45" s="4">
        <f t="shared" si="28"/>
        <v>9.208290665200238</v>
      </c>
    </row>
    <row r="46" spans="1:17" ht="12.75">
      <c r="A46">
        <f t="shared" si="29"/>
        <v>175</v>
      </c>
      <c r="B46" s="1">
        <f t="shared" si="13"/>
        <v>19.47122063449069</v>
      </c>
      <c r="C46" s="1">
        <f t="shared" si="14"/>
        <v>70.71067811865476</v>
      </c>
      <c r="D46" s="1">
        <f t="shared" si="15"/>
        <v>51.02260072873556</v>
      </c>
      <c r="E46" s="1">
        <f t="shared" si="16"/>
        <v>248.61111111111114</v>
      </c>
      <c r="F46" s="1">
        <f t="shared" si="17"/>
        <v>330.6782107702341</v>
      </c>
      <c r="G46" s="4">
        <f t="shared" si="18"/>
        <v>2.2546241643425056</v>
      </c>
      <c r="H46" s="4">
        <f t="shared" si="19"/>
        <v>2.24479746659962</v>
      </c>
      <c r="I46" s="4">
        <f t="shared" si="20"/>
        <v>4.468084351141838</v>
      </c>
      <c r="J46" s="4">
        <f t="shared" si="21"/>
        <v>2.8786427479450354</v>
      </c>
      <c r="K46" s="4">
        <f t="shared" si="22"/>
        <v>7.346727099086873</v>
      </c>
      <c r="L46" s="4">
        <f t="shared" si="23"/>
        <v>11.846148730028998</v>
      </c>
      <c r="M46" s="4">
        <f t="shared" si="24"/>
        <v>105.92843285676932</v>
      </c>
      <c r="N46" s="4">
        <f t="shared" si="25"/>
        <v>5.0330346117364275</v>
      </c>
      <c r="O46" s="4">
        <f t="shared" si="26"/>
        <v>16.879183341765426</v>
      </c>
      <c r="P46" s="4">
        <f t="shared" si="27"/>
        <v>7.9116773596814625</v>
      </c>
      <c r="Q46" s="4">
        <f t="shared" si="28"/>
        <v>8.967505982083964</v>
      </c>
    </row>
    <row r="47" spans="1:17" ht="12.75">
      <c r="A47">
        <f t="shared" si="29"/>
        <v>180</v>
      </c>
      <c r="B47" s="1">
        <f t="shared" si="13"/>
        <v>14.477512185929923</v>
      </c>
      <c r="C47" s="1">
        <f t="shared" si="14"/>
        <v>77.45966692414834</v>
      </c>
      <c r="D47" s="1">
        <f t="shared" si="15"/>
        <v>51.746361711846205</v>
      </c>
      <c r="E47" s="1">
        <f t="shared" si="16"/>
        <v>246.11111111111114</v>
      </c>
      <c r="F47" s="1">
        <f t="shared" si="17"/>
        <v>326.4292219647405</v>
      </c>
      <c r="G47" s="4">
        <f t="shared" si="18"/>
        <v>2.225653786123231</v>
      </c>
      <c r="H47" s="4">
        <f t="shared" si="19"/>
        <v>2.211625088207049</v>
      </c>
      <c r="I47" s="4">
        <f t="shared" si="20"/>
        <v>4.32475444417462</v>
      </c>
      <c r="J47" s="4">
        <f t="shared" si="21"/>
        <v>3.126186755172457</v>
      </c>
      <c r="K47" s="4">
        <f t="shared" si="22"/>
        <v>7.450941199347078</v>
      </c>
      <c r="L47" s="4">
        <f t="shared" si="23"/>
        <v>11.888220073677356</v>
      </c>
      <c r="M47" s="4">
        <f t="shared" si="24"/>
        <v>105.80555218041609</v>
      </c>
      <c r="N47" s="4">
        <f t="shared" si="25"/>
        <v>4.955425792952239</v>
      </c>
      <c r="O47" s="4">
        <f t="shared" si="26"/>
        <v>16.843645866629593</v>
      </c>
      <c r="P47" s="4">
        <f t="shared" si="27"/>
        <v>8.081612548124696</v>
      </c>
      <c r="Q47" s="4">
        <f t="shared" si="28"/>
        <v>8.762033318504901</v>
      </c>
    </row>
    <row r="48" spans="1:17" ht="12.75">
      <c r="A48">
        <f t="shared" si="29"/>
        <v>185</v>
      </c>
      <c r="B48" s="1">
        <f t="shared" si="13"/>
        <v>10.164248621723482</v>
      </c>
      <c r="C48" s="1">
        <f t="shared" si="14"/>
        <v>83.66600265340755</v>
      </c>
      <c r="D48" s="1">
        <f t="shared" si="15"/>
        <v>52.46013835001275</v>
      </c>
      <c r="E48" s="1">
        <f t="shared" si="16"/>
        <v>243.61111111111114</v>
      </c>
      <c r="F48" s="1">
        <f t="shared" si="17"/>
        <v>322.7228862354813</v>
      </c>
      <c r="G48" s="4">
        <f t="shared" si="18"/>
        <v>2.2003833152419183</v>
      </c>
      <c r="H48" s="4">
        <f t="shared" si="19"/>
        <v>2.1789103256244156</v>
      </c>
      <c r="I48" s="4">
        <f t="shared" si="20"/>
        <v>4.203402519045195</v>
      </c>
      <c r="J48" s="4">
        <f t="shared" si="21"/>
        <v>3.3503151380954193</v>
      </c>
      <c r="K48" s="4">
        <f t="shared" si="22"/>
        <v>7.553717657140615</v>
      </c>
      <c r="L48" s="4">
        <f t="shared" si="23"/>
        <v>11.93301129800695</v>
      </c>
      <c r="M48" s="4">
        <f t="shared" si="24"/>
        <v>105.72071406311737</v>
      </c>
      <c r="N48" s="4">
        <f t="shared" si="25"/>
        <v>4.8822194403679235</v>
      </c>
      <c r="O48" s="4">
        <f t="shared" si="26"/>
        <v>16.815230738374872</v>
      </c>
      <c r="P48" s="4">
        <f t="shared" si="27"/>
        <v>8.232534578463342</v>
      </c>
      <c r="Q48" s="4">
        <f t="shared" si="28"/>
        <v>8.582696159911528</v>
      </c>
    </row>
    <row r="49" spans="1:17" ht="12.75">
      <c r="A49">
        <f t="shared" si="29"/>
        <v>190</v>
      </c>
      <c r="B49" s="1">
        <f t="shared" si="13"/>
        <v>6.379370208442803</v>
      </c>
      <c r="C49" s="1">
        <f t="shared" si="14"/>
        <v>89.44271909999158</v>
      </c>
      <c r="D49" s="1">
        <f t="shared" si="15"/>
        <v>53.16433278986707</v>
      </c>
      <c r="E49" s="1">
        <f t="shared" si="16"/>
        <v>241.11111111111114</v>
      </c>
      <c r="F49" s="1">
        <f t="shared" si="17"/>
        <v>319.4461697888973</v>
      </c>
      <c r="G49" s="4">
        <f t="shared" si="18"/>
        <v>2.178042066742482</v>
      </c>
      <c r="H49" s="4">
        <f t="shared" si="19"/>
        <v>2.1466347471310927</v>
      </c>
      <c r="I49" s="4">
        <f t="shared" si="20"/>
        <v>4.098861680943749</v>
      </c>
      <c r="J49" s="4">
        <f t="shared" si="21"/>
        <v>3.556252696481849</v>
      </c>
      <c r="K49" s="4">
        <f t="shared" si="22"/>
        <v>7.655114377425598</v>
      </c>
      <c r="L49" s="4">
        <f t="shared" si="23"/>
        <v>11.97979119129917</v>
      </c>
      <c r="M49" s="4">
        <f t="shared" si="24"/>
        <v>105.66605378492879</v>
      </c>
      <c r="N49" s="4">
        <f t="shared" si="25"/>
        <v>4.8126577578806575</v>
      </c>
      <c r="O49" s="4">
        <f t="shared" si="26"/>
        <v>16.79244894917983</v>
      </c>
      <c r="P49" s="4">
        <f t="shared" si="27"/>
        <v>8.368910454362506</v>
      </c>
      <c r="Q49" s="4">
        <f t="shared" si="28"/>
        <v>8.423538494817324</v>
      </c>
    </row>
    <row r="50" spans="1:17" ht="12.75">
      <c r="A50">
        <f t="shared" si="29"/>
        <v>195</v>
      </c>
      <c r="B50" s="1">
        <f t="shared" si="13"/>
        <v>3.016961309815992</v>
      </c>
      <c r="C50" s="1">
        <f t="shared" si="14"/>
        <v>94.86832980505139</v>
      </c>
      <c r="D50" s="1">
        <f t="shared" si="15"/>
        <v>53.85932088581317</v>
      </c>
      <c r="E50" s="1">
        <f t="shared" si="16"/>
        <v>238.61111111111114</v>
      </c>
      <c r="F50" s="1">
        <f t="shared" si="17"/>
        <v>316.5205590838375</v>
      </c>
      <c r="G50" s="4">
        <f t="shared" si="18"/>
        <v>2.1580947210261647</v>
      </c>
      <c r="H50" s="4">
        <f t="shared" si="19"/>
        <v>2.1147811260668963</v>
      </c>
      <c r="I50" s="4">
        <f t="shared" si="20"/>
        <v>4.007576598240273</v>
      </c>
      <c r="J50" s="4">
        <f t="shared" si="21"/>
        <v>3.7476088811108372</v>
      </c>
      <c r="K50" s="4">
        <f t="shared" si="22"/>
        <v>7.75518547935111</v>
      </c>
      <c r="L50" s="4">
        <f t="shared" si="23"/>
        <v>12.028061326444172</v>
      </c>
      <c r="M50" s="4">
        <f t="shared" si="24"/>
        <v>105.63609006187808</v>
      </c>
      <c r="N50" s="4">
        <f t="shared" si="25"/>
        <v>4.746203841139283</v>
      </c>
      <c r="O50" s="4">
        <f t="shared" si="26"/>
        <v>16.774265167583454</v>
      </c>
      <c r="P50" s="4">
        <f t="shared" si="27"/>
        <v>8.49381272225012</v>
      </c>
      <c r="Q50" s="4">
        <f t="shared" si="28"/>
        <v>8.280452445333333</v>
      </c>
    </row>
    <row r="51" spans="1:17" ht="12.75">
      <c r="A51">
        <f t="shared" si="29"/>
        <v>200</v>
      </c>
      <c r="B51" s="1">
        <f t="shared" si="13"/>
        <v>0</v>
      </c>
      <c r="C51" s="1">
        <f t="shared" si="14"/>
        <v>100</v>
      </c>
      <c r="D51" s="1">
        <f t="shared" si="15"/>
        <v>54.54545454545454</v>
      </c>
      <c r="E51" s="1">
        <f t="shared" si="16"/>
        <v>236.11111111111114</v>
      </c>
      <c r="F51" s="1">
        <f t="shared" si="17"/>
        <v>313.88888888888886</v>
      </c>
      <c r="G51" s="4">
        <f t="shared" si="18"/>
        <v>2.140151515151515</v>
      </c>
      <c r="H51" s="4">
        <f t="shared" si="19"/>
        <v>2.0833333333333335</v>
      </c>
      <c r="I51" s="4">
        <f t="shared" si="20"/>
        <v>3.9269908169872423</v>
      </c>
      <c r="J51" s="4">
        <f t="shared" si="21"/>
        <v>3.9269908169872423</v>
      </c>
      <c r="K51" s="4">
        <f t="shared" si="22"/>
        <v>7.853981633974485</v>
      </c>
      <c r="L51" s="4">
        <f t="shared" si="23"/>
        <v>12.077466482459334</v>
      </c>
      <c r="M51" s="4">
        <f t="shared" si="24"/>
        <v>105.62681853292955</v>
      </c>
      <c r="N51" s="4">
        <f t="shared" si="25"/>
        <v>4.682458365518542</v>
      </c>
      <c r="O51" s="4">
        <f t="shared" si="26"/>
        <v>16.759924847977874</v>
      </c>
      <c r="P51" s="4">
        <f t="shared" si="27"/>
        <v>8.609449182505784</v>
      </c>
      <c r="Q51" s="4">
        <f t="shared" si="28"/>
        <v>8.150475665472092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2"/>
  <sheetViews>
    <sheetView workbookViewId="0" topLeftCell="A1">
      <selection activeCell="D14" sqref="D14"/>
    </sheetView>
  </sheetViews>
  <sheetFormatPr defaultColWidth="9.140625" defaultRowHeight="12.75"/>
  <sheetData>
    <row r="1" spans="2:25" s="2" customFormat="1" ht="51">
      <c r="B1" s="2" t="s">
        <v>16</v>
      </c>
      <c r="C1" s="2" t="s">
        <v>17</v>
      </c>
      <c r="D1" s="2" t="s">
        <v>18</v>
      </c>
      <c r="F1" s="2" t="s">
        <v>21</v>
      </c>
      <c r="G1" s="2" t="s">
        <v>12</v>
      </c>
      <c r="H1" s="2" t="s">
        <v>27</v>
      </c>
      <c r="I1" s="2" t="s">
        <v>14</v>
      </c>
      <c r="J1" s="2" t="s">
        <v>25</v>
      </c>
      <c r="K1" s="2" t="s">
        <v>26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17</v>
      </c>
      <c r="Q1" s="2" t="s">
        <v>18</v>
      </c>
      <c r="T1" s="2" t="s">
        <v>21</v>
      </c>
      <c r="U1" s="2" t="s">
        <v>19</v>
      </c>
      <c r="V1" s="2" t="s">
        <v>20</v>
      </c>
      <c r="W1" s="2" t="s">
        <v>22</v>
      </c>
      <c r="X1" s="2" t="s">
        <v>23</v>
      </c>
      <c r="Y1" s="2" t="s">
        <v>24</v>
      </c>
    </row>
    <row r="2" spans="2:25" ht="12.75">
      <c r="B2" s="4">
        <f>SQRT(1-C2*C2)</f>
        <v>1</v>
      </c>
      <c r="C2" s="1">
        <v>0</v>
      </c>
      <c r="D2" s="1"/>
      <c r="E2" s="1"/>
      <c r="F2">
        <v>0</v>
      </c>
      <c r="G2">
        <v>160</v>
      </c>
      <c r="H2" s="1">
        <f>ASIN((200-G2)/(G2-100))*180/PI()</f>
        <v>41.810314895778596</v>
      </c>
      <c r="I2" s="1">
        <f>(G2-100)*COS(H2*PI()/180)</f>
        <v>44.721359549995796</v>
      </c>
      <c r="J2" s="1">
        <f>400-(G2*(1+SIN(H2*PI()/180)))</f>
        <v>133.33333333333337</v>
      </c>
      <c r="K2" s="1">
        <f>13*50+G2*COS(H2*PI()/180)-I2</f>
        <v>724.535599249993</v>
      </c>
      <c r="L2" s="1">
        <f>H2+90</f>
        <v>131.8103148957786</v>
      </c>
      <c r="M2" s="1">
        <f>SQRT(32*G2)*60/88</f>
        <v>48.78693769090451</v>
      </c>
      <c r="N2" s="1">
        <f>M2*SIN(L2*PI()/180)*(F3-F2)</f>
        <v>1.8181818181818192</v>
      </c>
      <c r="O2" s="1">
        <f>M2*COS(L2*PI()/180)*(F3-F2)</f>
        <v>-1.626231256363483</v>
      </c>
      <c r="P2" s="1">
        <v>1</v>
      </c>
      <c r="Q2" s="4">
        <f>SQRT(1-P2*P2)/2</f>
        <v>0</v>
      </c>
      <c r="R2" s="1"/>
      <c r="S2" s="1"/>
      <c r="T2">
        <v>0</v>
      </c>
      <c r="U2">
        <v>150</v>
      </c>
      <c r="V2">
        <f>SQRT(32*U2)*60/88</f>
        <v>47.23774929733302</v>
      </c>
      <c r="W2">
        <v>1</v>
      </c>
      <c r="X2" s="4">
        <f>SQRT(1-W2*W2)/2</f>
        <v>0</v>
      </c>
      <c r="Y2">
        <f>V2+X2*(T3-T2)</f>
        <v>47.23774929733302</v>
      </c>
    </row>
    <row r="3" spans="2:25" ht="12.75">
      <c r="B3" s="4">
        <f>SQRT(1-C3*C3)</f>
        <v>0.99498743710662</v>
      </c>
      <c r="C3" s="1">
        <f>C2+0.1</f>
        <v>0.1</v>
      </c>
      <c r="D3" s="1"/>
      <c r="E3" s="1"/>
      <c r="F3">
        <f>F2+0.05</f>
        <v>0.05</v>
      </c>
      <c r="J3" s="1"/>
      <c r="K3" s="1"/>
      <c r="L3" s="1"/>
      <c r="M3" s="1"/>
      <c r="N3" s="1"/>
      <c r="O3" s="1"/>
      <c r="P3" s="1"/>
      <c r="Q3" s="1"/>
      <c r="R3" s="1"/>
      <c r="S3" s="1"/>
      <c r="T3">
        <f>T2+0.05</f>
        <v>0.05</v>
      </c>
      <c r="U3">
        <f>151</f>
        <v>151</v>
      </c>
      <c r="V3">
        <f>SQRT(32*U3)*60/88</f>
        <v>47.394946900862095</v>
      </c>
      <c r="W3">
        <v>1</v>
      </c>
      <c r="X3" s="4">
        <f>SQRT(1-W3*W3)/2</f>
        <v>0</v>
      </c>
      <c r="Y3">
        <f>V3+X3*(U4-T3)</f>
        <v>47.394946900862095</v>
      </c>
    </row>
    <row r="4" spans="2:20" ht="12.75">
      <c r="B4" s="4">
        <f aca="true" t="shared" si="0" ref="B4:B12">SQRT(1-C4*C4)</f>
        <v>0.9797958971132712</v>
      </c>
      <c r="C4" s="1">
        <f aca="true" t="shared" si="1" ref="C4:C12">C3+0.1</f>
        <v>0.2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12.75">
      <c r="B5" s="4">
        <f t="shared" si="0"/>
        <v>0.9539392014169457</v>
      </c>
      <c r="C5" s="1">
        <f t="shared" si="1"/>
        <v>0.30000000000000004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2.75">
      <c r="B6" s="4">
        <f t="shared" si="0"/>
        <v>0.916515138991168</v>
      </c>
      <c r="C6" s="1">
        <f t="shared" si="1"/>
        <v>0.4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2.75">
      <c r="B7" s="4">
        <f t="shared" si="0"/>
        <v>0.8660254037844386</v>
      </c>
      <c r="C7" s="1">
        <f t="shared" si="1"/>
        <v>0.5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2.75">
      <c r="B8" s="4">
        <f t="shared" si="0"/>
        <v>0.8</v>
      </c>
      <c r="C8" s="1">
        <f t="shared" si="1"/>
        <v>0.6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2.75">
      <c r="B9" s="4">
        <f t="shared" si="0"/>
        <v>0.714142842854285</v>
      </c>
      <c r="C9" s="1">
        <f t="shared" si="1"/>
        <v>0.7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2.75">
      <c r="B10" s="4">
        <f t="shared" si="0"/>
        <v>0.6000000000000001</v>
      </c>
      <c r="C10" s="1">
        <f t="shared" si="1"/>
        <v>0.7999999999999999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2.75">
      <c r="B11" s="4">
        <f t="shared" si="0"/>
        <v>0.43588989435406755</v>
      </c>
      <c r="C11" s="1">
        <f t="shared" si="1"/>
        <v>0.8999999999999999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2.75">
      <c r="B12" s="4">
        <f t="shared" si="0"/>
        <v>1.4901161193847656E-08</v>
      </c>
      <c r="C12" s="1">
        <f t="shared" si="1"/>
        <v>0.9999999999999999</v>
      </c>
      <c r="D12" s="4">
        <f>SQRT(1-C12*C12)/2</f>
        <v>7.450580596923828E-09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2.75">
      <c r="B13" s="1"/>
      <c r="C13" s="1">
        <f>C12-0.1</f>
        <v>0.8999999999999999</v>
      </c>
      <c r="D13" s="4">
        <f>SQRT(1-C13*C13)/2</f>
        <v>0.21794494717703378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19" ht="12.75">
      <c r="B14" s="1"/>
      <c r="C14" s="1">
        <f aca="true" t="shared" si="2" ref="C14:C22">C13-0.1</f>
        <v>0.7999999999999999</v>
      </c>
      <c r="D14" s="4">
        <f aca="true" t="shared" si="3" ref="D14:D22">SQRT(1-C14*C14)/2</f>
        <v>0.30000000000000004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2.75">
      <c r="B15" s="1"/>
      <c r="C15" s="1">
        <f t="shared" si="2"/>
        <v>0.7</v>
      </c>
      <c r="D15" s="4">
        <f t="shared" si="3"/>
        <v>0.3570714214271425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2.75">
      <c r="B16" s="1"/>
      <c r="C16" s="1">
        <f t="shared" si="2"/>
        <v>0.6</v>
      </c>
      <c r="D16" s="4">
        <f t="shared" si="3"/>
        <v>0.4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.75">
      <c r="B17" s="1"/>
      <c r="C17" s="1">
        <f t="shared" si="2"/>
        <v>0.5</v>
      </c>
      <c r="D17" s="4">
        <f t="shared" si="3"/>
        <v>0.4330127018922193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9" ht="12.75">
      <c r="B18" s="1"/>
      <c r="C18" s="1">
        <f t="shared" si="2"/>
        <v>0.4</v>
      </c>
      <c r="D18" s="4">
        <f t="shared" si="3"/>
        <v>0.458257569495584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ht="12.75">
      <c r="B19" s="1"/>
      <c r="C19" s="1">
        <f t="shared" si="2"/>
        <v>0.30000000000000004</v>
      </c>
      <c r="D19" s="4">
        <f t="shared" si="3"/>
        <v>0.47696960070847283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2:19" ht="12.75">
      <c r="B20" s="1"/>
      <c r="C20" s="1">
        <f t="shared" si="2"/>
        <v>0.20000000000000004</v>
      </c>
      <c r="D20" s="4">
        <f t="shared" si="3"/>
        <v>0.4898979485566356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2.75">
      <c r="B21" s="1"/>
      <c r="C21" s="1">
        <f t="shared" si="2"/>
        <v>0.10000000000000003</v>
      </c>
      <c r="D21" s="4">
        <f t="shared" si="3"/>
        <v>0.49749371855331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2.75">
      <c r="B22" s="1"/>
      <c r="C22" s="1">
        <f t="shared" si="2"/>
        <v>0</v>
      </c>
      <c r="D22" s="4">
        <f t="shared" si="3"/>
        <v>0.5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76"/>
  <sheetViews>
    <sheetView workbookViewId="0" topLeftCell="A1">
      <pane ySplit="5010" topLeftCell="BM132" activePane="topLeft" state="split"/>
      <selection pane="topLeft" activeCell="O13" sqref="O13"/>
      <selection pane="bottomLeft" activeCell="I140" sqref="I140"/>
    </sheetView>
  </sheetViews>
  <sheetFormatPr defaultColWidth="9.140625" defaultRowHeight="12.75"/>
  <cols>
    <col min="1" max="1" width="9.421875" style="1" customWidth="1"/>
    <col min="2" max="2" width="9.8515625" style="1" customWidth="1"/>
    <col min="3" max="5" width="9.00390625" style="0" customWidth="1"/>
    <col min="6" max="7" width="6.7109375" style="1" bestFit="1" customWidth="1"/>
    <col min="8" max="8" width="8.421875" style="1" bestFit="1" customWidth="1"/>
    <col min="9" max="9" width="8.7109375" style="1" bestFit="1" customWidth="1"/>
    <col min="10" max="11" width="7.28125" style="1" customWidth="1"/>
    <col min="12" max="12" width="8.28125" style="1" customWidth="1"/>
    <col min="13" max="13" width="1.8515625" style="0" customWidth="1"/>
    <col min="14" max="14" width="10.140625" style="0" bestFit="1" customWidth="1"/>
    <col min="15" max="15" width="5.57421875" style="0" bestFit="1" customWidth="1"/>
  </cols>
  <sheetData>
    <row r="1" spans="1:14" s="5" customFormat="1" ht="38.25">
      <c r="A1" s="6" t="s">
        <v>21</v>
      </c>
      <c r="B1" s="6" t="s">
        <v>50</v>
      </c>
      <c r="C1" s="5" t="s">
        <v>51</v>
      </c>
      <c r="D1" s="5" t="s">
        <v>59</v>
      </c>
      <c r="E1" s="5" t="s">
        <v>52</v>
      </c>
      <c r="F1" s="6" t="s">
        <v>54</v>
      </c>
      <c r="G1" s="6" t="s">
        <v>55</v>
      </c>
      <c r="H1" s="6" t="s">
        <v>46</v>
      </c>
      <c r="I1" s="6" t="s">
        <v>45</v>
      </c>
      <c r="J1" s="6" t="s">
        <v>44</v>
      </c>
      <c r="K1" s="6" t="s">
        <v>43</v>
      </c>
      <c r="L1" s="6" t="s">
        <v>53</v>
      </c>
      <c r="N1" s="5" t="s">
        <v>49</v>
      </c>
    </row>
    <row r="2" spans="1:16" ht="12.75">
      <c r="A2" s="1">
        <v>0</v>
      </c>
      <c r="B2" s="1">
        <f>amax*MIN(1,(A2/k))</f>
        <v>0</v>
      </c>
      <c r="C2" s="1">
        <f>g*SQRT(1-B2*B2/(amax*amax))</f>
        <v>32</v>
      </c>
      <c r="D2" s="1">
        <f>MAX(0,MIN(C2,g*(1-A2/k_unwind)))</f>
        <v>32</v>
      </c>
      <c r="E2" s="1">
        <f>(L2*L2*22*22/(15*15))/D2</f>
        <v>160.00000000000003</v>
      </c>
      <c r="F2" s="1">
        <f>MIN(0,B2*J2/L2-D2*K2/L2)</f>
        <v>-21.333333333333332</v>
      </c>
      <c r="G2" s="1">
        <f>MAX(0,B2*K2/L2+D2*J2/L2)</f>
        <v>23.851391759997757</v>
      </c>
      <c r="H2" s="1">
        <f>r0*SIN(alpha*PI()/180)</f>
        <v>66.66666666666666</v>
      </c>
      <c r="I2" s="1">
        <f>-r0*COS(alpha*PI()/180)</f>
        <v>-74.53559924999298</v>
      </c>
      <c r="J2" s="1">
        <f>v0*COS(alpha*PI()/180)</f>
        <v>36.36363636363637</v>
      </c>
      <c r="K2" s="1">
        <f>v0*SIN(alpha*PI()/180)</f>
        <v>32.52462512726967</v>
      </c>
      <c r="L2" s="1">
        <f aca="true" t="shared" si="0" ref="L2:L7">SQRT(K2*K2+J2*J2)</f>
        <v>48.78693769090451</v>
      </c>
      <c r="N2" t="s">
        <v>32</v>
      </c>
      <c r="O2">
        <v>100</v>
      </c>
      <c r="P2" t="s">
        <v>38</v>
      </c>
    </row>
    <row r="3" spans="1:16" ht="12.75">
      <c r="A3" s="1">
        <f>A2+deltat</f>
        <v>0.05</v>
      </c>
      <c r="B3" s="1">
        <f aca="true" t="shared" si="1" ref="B3:B66">amax*MIN(1,(A3/k))</f>
        <v>0.32</v>
      </c>
      <c r="C3" s="1">
        <f aca="true" t="shared" si="2" ref="C3:C66">g*SQRT(1-B3*B3/(amax*amax))</f>
        <v>31.99359935987197</v>
      </c>
      <c r="D3" s="1">
        <f aca="true" t="shared" si="3" ref="D3:D52">MAX(0,MIN(C3,g*(1-A3/k_unwind)))</f>
        <v>31.56756756756757</v>
      </c>
      <c r="E3" s="1">
        <f aca="true" t="shared" si="4" ref="E3:E52">(L3*L3*22*22/(15*15))/D3</f>
        <v>162.2728767123288</v>
      </c>
      <c r="F3" s="1">
        <f aca="true" t="shared" si="5" ref="F3:F52">MIN(0,B3*J3/L3-D3*K3/L3)</f>
        <v>-21.332095174590915</v>
      </c>
      <c r="G3" s="1">
        <f aca="true" t="shared" si="6" ref="G3:G52">MAX(0,B3*K3/L3+D3*J3/L3)</f>
        <v>23.27134369981972</v>
      </c>
      <c r="H3" s="1">
        <f aca="true" t="shared" si="7" ref="H3:I7">H2+J3*deltat*22/15</f>
        <v>69.27999999999999</v>
      </c>
      <c r="I3" s="1">
        <f t="shared" si="7"/>
        <v>-72.09083159459321</v>
      </c>
      <c r="J3" s="1">
        <f>MAX(0,J2+F2*deltat*15/22)</f>
        <v>35.63636363636364</v>
      </c>
      <c r="K3" s="1">
        <f>K2+G2*deltat*15/22</f>
        <v>33.337740755451414</v>
      </c>
      <c r="L3" s="1">
        <f t="shared" si="0"/>
        <v>48.79913290111646</v>
      </c>
      <c r="N3" t="s">
        <v>36</v>
      </c>
      <c r="O3">
        <v>200</v>
      </c>
      <c r="P3" t="s">
        <v>38</v>
      </c>
    </row>
    <row r="4" spans="1:16" ht="12.75">
      <c r="A4" s="1">
        <f aca="true" t="shared" si="8" ref="A4:A52">A3+deltat</f>
        <v>0.1</v>
      </c>
      <c r="B4" s="1">
        <f t="shared" si="1"/>
        <v>0.64</v>
      </c>
      <c r="C4" s="1">
        <f t="shared" si="2"/>
        <v>31.974389751799798</v>
      </c>
      <c r="D4" s="1">
        <f t="shared" si="3"/>
        <v>31.135135135135137</v>
      </c>
      <c r="E4" s="1">
        <f t="shared" si="4"/>
        <v>164.68025007831412</v>
      </c>
      <c r="F4" s="1">
        <f t="shared" si="5"/>
        <v>-21.30875519235602</v>
      </c>
      <c r="G4" s="1">
        <f t="shared" si="6"/>
        <v>22.709980009576554</v>
      </c>
      <c r="H4" s="1">
        <f t="shared" si="7"/>
        <v>71.84000309539684</v>
      </c>
      <c r="I4" s="1">
        <f t="shared" si="7"/>
        <v>-69.58788557994389</v>
      </c>
      <c r="J4" s="1">
        <f aca="true" t="shared" si="9" ref="J4:J67">MAX(0,J3+F3*deltat*15/22)</f>
        <v>34.90913311904804</v>
      </c>
      <c r="K4" s="1">
        <f>K3+G3*deltat*15/22</f>
        <v>34.13108201794527</v>
      </c>
      <c r="L4" s="1">
        <f t="shared" si="0"/>
        <v>48.82190425248818</v>
      </c>
      <c r="N4" t="s">
        <v>33</v>
      </c>
      <c r="O4">
        <v>160</v>
      </c>
      <c r="P4" t="s">
        <v>38</v>
      </c>
    </row>
    <row r="5" spans="1:16" ht="12.75">
      <c r="A5" s="1">
        <f t="shared" si="8"/>
        <v>0.15000000000000002</v>
      </c>
      <c r="B5" s="1">
        <f t="shared" si="1"/>
        <v>0.9600000000000002</v>
      </c>
      <c r="C5" s="1">
        <f t="shared" si="2"/>
        <v>31.942348066477518</v>
      </c>
      <c r="D5" s="1">
        <f t="shared" si="3"/>
        <v>30.7027027027027</v>
      </c>
      <c r="E5" s="1">
        <f t="shared" si="4"/>
        <v>167.22791980252603</v>
      </c>
      <c r="F5" s="1">
        <f t="shared" si="5"/>
        <v>-21.264268211903552</v>
      </c>
      <c r="G5" s="1">
        <f t="shared" si="6"/>
        <v>22.167734450384774</v>
      </c>
      <c r="H5" s="1">
        <f t="shared" si="7"/>
        <v>74.3467343028128</v>
      </c>
      <c r="I5" s="1">
        <f t="shared" si="7"/>
        <v>-67.02816461527063</v>
      </c>
      <c r="J5" s="1">
        <f t="shared" si="9"/>
        <v>34.182698282945</v>
      </c>
      <c r="K5" s="1">
        <f>K4+G4*deltat*15/22</f>
        <v>34.90528588190811</v>
      </c>
      <c r="L5" s="1">
        <f t="shared" si="0"/>
        <v>48.85525401019407</v>
      </c>
      <c r="N5" t="s">
        <v>27</v>
      </c>
      <c r="O5" s="1">
        <f>ASIN((r_1-r_)/(r_-r0))*180/PI()</f>
        <v>41.810314895778596</v>
      </c>
      <c r="P5" t="s">
        <v>39</v>
      </c>
    </row>
    <row r="6" spans="1:16" ht="12.75">
      <c r="A6" s="1">
        <f t="shared" si="8"/>
        <v>0.2</v>
      </c>
      <c r="B6" s="1">
        <f t="shared" si="1"/>
        <v>1.28</v>
      </c>
      <c r="C6" s="1">
        <f t="shared" si="2"/>
        <v>31.897435633605408</v>
      </c>
      <c r="D6" s="1">
        <f t="shared" si="3"/>
        <v>30.27027027027027</v>
      </c>
      <c r="E6" s="1">
        <f t="shared" si="4"/>
        <v>169.9220662059257</v>
      </c>
      <c r="F6" s="1">
        <f t="shared" si="5"/>
        <v>-21.199581981862654</v>
      </c>
      <c r="G6" s="1">
        <f t="shared" si="6"/>
        <v>21.644985239761482</v>
      </c>
      <c r="H6" s="1">
        <f t="shared" si="7"/>
        <v>76.80030483969901</v>
      </c>
      <c r="I6" s="1">
        <f t="shared" si="7"/>
        <v>-64.4130243144714</v>
      </c>
      <c r="J6" s="1">
        <f t="shared" si="9"/>
        <v>33.457780048448285</v>
      </c>
      <c r="K6" s="1">
        <f>K5+G5*deltat*15/22</f>
        <v>35.661004101807585</v>
      </c>
      <c r="L6" s="1">
        <f t="shared" si="0"/>
        <v>48.8991846488209</v>
      </c>
      <c r="N6" t="s">
        <v>34</v>
      </c>
      <c r="O6" s="1">
        <f>(r_-r0)*COS(alpha*PI()/180)</f>
        <v>44.721359549995796</v>
      </c>
      <c r="P6" t="s">
        <v>38</v>
      </c>
    </row>
    <row r="7" spans="1:16" ht="12.75">
      <c r="A7" s="1">
        <f t="shared" si="8"/>
        <v>0.25</v>
      </c>
      <c r="B7" s="1">
        <f t="shared" si="1"/>
        <v>1.6</v>
      </c>
      <c r="C7" s="1">
        <f t="shared" si="2"/>
        <v>31.83959798741184</v>
      </c>
      <c r="D7" s="1">
        <f t="shared" si="3"/>
        <v>29.83783783783784</v>
      </c>
      <c r="E7" s="1">
        <f t="shared" si="4"/>
        <v>172.76927782233287</v>
      </c>
      <c r="F7" s="1">
        <f t="shared" si="5"/>
        <v>-21.115634411895904</v>
      </c>
      <c r="G7" s="1">
        <f t="shared" si="6"/>
        <v>21.142056433097164</v>
      </c>
      <c r="H7" s="1">
        <f t="shared" si="7"/>
        <v>79.20087642163055</v>
      </c>
      <c r="I7" s="1">
        <f t="shared" si="7"/>
        <v>-61.743771550572774</v>
      </c>
      <c r="J7" s="1">
        <f t="shared" si="9"/>
        <v>32.73506702633933</v>
      </c>
      <c r="K7" s="1">
        <f>K6+G6*deltat*15/22</f>
        <v>36.398901325890364</v>
      </c>
      <c r="L7" s="1">
        <f t="shared" si="0"/>
        <v>48.95369884851227</v>
      </c>
      <c r="N7" t="s">
        <v>35</v>
      </c>
      <c r="O7">
        <v>100</v>
      </c>
      <c r="P7" t="s">
        <v>38</v>
      </c>
    </row>
    <row r="8" spans="1:16" ht="12.75">
      <c r="A8" s="1">
        <f t="shared" si="8"/>
        <v>0.3</v>
      </c>
      <c r="B8" s="1">
        <f t="shared" si="1"/>
        <v>1.92</v>
      </c>
      <c r="C8" s="1">
        <f t="shared" si="2"/>
        <v>31.768764533736594</v>
      </c>
      <c r="D8" s="1">
        <f t="shared" si="3"/>
        <v>29.405405405405407</v>
      </c>
      <c r="E8" s="1">
        <f t="shared" si="4"/>
        <v>175.77658143151652</v>
      </c>
      <c r="F8" s="1">
        <f t="shared" si="5"/>
        <v>-21.01335097107519</v>
      </c>
      <c r="G8" s="1">
        <f t="shared" si="6"/>
        <v>20.659219443692898</v>
      </c>
      <c r="H8" s="1">
        <f aca="true" t="shared" si="10" ref="H8:H17">H7+J8*deltat*22/15</f>
        <v>81.54865891753236</v>
      </c>
      <c r="I8" s="1">
        <f aca="true" t="shared" si="11" ref="I8:I17">I7+K8*deltat*22/15</f>
        <v>-59.0216636455914</v>
      </c>
      <c r="J8" s="1">
        <f t="shared" si="9"/>
        <v>32.01521585320651</v>
      </c>
      <c r="K8" s="1">
        <f aca="true" t="shared" si="12" ref="K8:K17">K7+G7*deltat*15/22</f>
        <v>37.11965324974595</v>
      </c>
      <c r="L8" s="1">
        <f aca="true" t="shared" si="13" ref="L8:L17">SQRT(K8*K8+J8*J8)</f>
        <v>49.01879949069317</v>
      </c>
      <c r="N8" t="s">
        <v>37</v>
      </c>
      <c r="O8">
        <v>2.5</v>
      </c>
      <c r="P8" t="s">
        <v>40</v>
      </c>
    </row>
    <row r="9" spans="1:16" ht="12.75">
      <c r="A9" s="1">
        <f t="shared" si="8"/>
        <v>0.35</v>
      </c>
      <c r="B9" s="1">
        <f t="shared" si="1"/>
        <v>2.2399999999999998</v>
      </c>
      <c r="C9" s="1">
        <f t="shared" si="2"/>
        <v>31.684848113885604</v>
      </c>
      <c r="D9" s="1">
        <f t="shared" si="3"/>
        <v>28.972972972972972</v>
      </c>
      <c r="E9" s="1">
        <f t="shared" si="4"/>
        <v>178.95147478343856</v>
      </c>
      <c r="F9" s="1">
        <f t="shared" si="5"/>
        <v>-20.89364225340027</v>
      </c>
      <c r="G9" s="1">
        <f t="shared" si="6"/>
        <v>20.196694686991467</v>
      </c>
      <c r="H9" s="1">
        <f t="shared" si="10"/>
        <v>83.84390803600648</v>
      </c>
      <c r="I9" s="1">
        <f t="shared" si="11"/>
        <v>-56.2479076920008</v>
      </c>
      <c r="J9" s="1">
        <f t="shared" si="9"/>
        <v>31.298851615556224</v>
      </c>
      <c r="K9" s="1">
        <f t="shared" si="12"/>
        <v>37.82394482169003</v>
      </c>
      <c r="L9" s="1">
        <f t="shared" si="13"/>
        <v>49.09448965339041</v>
      </c>
      <c r="N9" t="s">
        <v>41</v>
      </c>
      <c r="O9" s="1">
        <f>SQRT(r_*32)*15/22</f>
        <v>48.78693769090451</v>
      </c>
      <c r="P9" t="s">
        <v>42</v>
      </c>
    </row>
    <row r="10" spans="1:16" ht="12.75">
      <c r="A10" s="1">
        <f t="shared" si="8"/>
        <v>0.39999999999999997</v>
      </c>
      <c r="B10" s="1">
        <f t="shared" si="1"/>
        <v>2.5599999999999996</v>
      </c>
      <c r="C10" s="1">
        <f t="shared" si="2"/>
        <v>31.58774445888785</v>
      </c>
      <c r="D10" s="1">
        <f t="shared" si="3"/>
        <v>28.54054054054054</v>
      </c>
      <c r="E10" s="1">
        <f t="shared" si="4"/>
        <v>182.30196229903063</v>
      </c>
      <c r="F10" s="1">
        <f t="shared" si="5"/>
        <v>-20.7574017155381</v>
      </c>
      <c r="G10" s="1">
        <f t="shared" si="6"/>
        <v>19.75465333449347</v>
      </c>
      <c r="H10" s="1">
        <f t="shared" si="10"/>
        <v>86.0869230488471</v>
      </c>
      <c r="I10" s="1">
        <f t="shared" si="11"/>
        <v>-53.42366000169272</v>
      </c>
      <c r="J10" s="1">
        <f t="shared" si="9"/>
        <v>30.586568356917578</v>
      </c>
      <c r="K10" s="1">
        <f t="shared" si="12"/>
        <v>38.5124685042011</v>
      </c>
      <c r="L10" s="1">
        <f t="shared" si="13"/>
        <v>49.18077260616666</v>
      </c>
      <c r="N10" t="s">
        <v>47</v>
      </c>
      <c r="O10">
        <v>16</v>
      </c>
      <c r="P10" t="s">
        <v>48</v>
      </c>
    </row>
    <row r="11" spans="1:16" ht="12.75">
      <c r="A11" s="1">
        <f t="shared" si="8"/>
        <v>0.44999999999999996</v>
      </c>
      <c r="B11" s="1">
        <f t="shared" si="1"/>
        <v>2.88</v>
      </c>
      <c r="C11" s="1">
        <f t="shared" si="2"/>
        <v>31.47733152603632</v>
      </c>
      <c r="D11" s="1">
        <f t="shared" si="3"/>
        <v>28.10810810810811</v>
      </c>
      <c r="E11" s="1">
        <f t="shared" si="4"/>
        <v>185.83659406800098</v>
      </c>
      <c r="F11" s="1">
        <f t="shared" si="5"/>
        <v>-20.605503590515767</v>
      </c>
      <c r="G11" s="1">
        <f t="shared" si="6"/>
        <v>19.33321916283821</v>
      </c>
      <c r="H11" s="1">
        <f t="shared" si="10"/>
        <v>88.27804455739887</v>
      </c>
      <c r="I11" s="1">
        <f t="shared" si="11"/>
        <v>-50.5500256780484</v>
      </c>
      <c r="J11" s="1">
        <f t="shared" si="9"/>
        <v>29.878929662069687</v>
      </c>
      <c r="K11" s="1">
        <f t="shared" si="12"/>
        <v>39.18592259514974</v>
      </c>
      <c r="L11" s="1">
        <f t="shared" si="13"/>
        <v>49.27765180468703</v>
      </c>
      <c r="N11" s="1" t="s">
        <v>56</v>
      </c>
      <c r="O11" s="1">
        <v>0.05</v>
      </c>
      <c r="P11" t="s">
        <v>40</v>
      </c>
    </row>
    <row r="12" spans="1:16" ht="12.75">
      <c r="A12" s="1">
        <f t="shared" si="8"/>
        <v>0.49999999999999994</v>
      </c>
      <c r="B12" s="1">
        <f t="shared" si="1"/>
        <v>3.1999999999999997</v>
      </c>
      <c r="C12" s="1">
        <f t="shared" si="2"/>
        <v>31.35346870762468</v>
      </c>
      <c r="D12" s="1">
        <f t="shared" si="3"/>
        <v>27.675675675675677</v>
      </c>
      <c r="E12" s="1">
        <f t="shared" si="4"/>
        <v>189.5645085042257</v>
      </c>
      <c r="F12" s="1">
        <f t="shared" si="5"/>
        <v>-20.438800979787562</v>
      </c>
      <c r="G12" s="1">
        <f t="shared" si="6"/>
        <v>18.93247048363793</v>
      </c>
      <c r="H12" s="1">
        <f t="shared" si="10"/>
        <v>90.41765230697436</v>
      </c>
      <c r="I12" s="1">
        <f t="shared" si="11"/>
        <v>-47.62805830649699</v>
      </c>
      <c r="J12" s="1">
        <f t="shared" si="9"/>
        <v>29.176469312393014</v>
      </c>
      <c r="K12" s="1">
        <f t="shared" si="12"/>
        <v>39.84500961206468</v>
      </c>
      <c r="L12" s="1">
        <f t="shared" si="13"/>
        <v>49.38513088493882</v>
      </c>
      <c r="N12" t="s">
        <v>57</v>
      </c>
      <c r="O12">
        <v>32</v>
      </c>
      <c r="P12" t="s">
        <v>48</v>
      </c>
    </row>
    <row r="13" spans="1:16" ht="12.75">
      <c r="A13" s="1">
        <f t="shared" si="8"/>
        <v>0.5499999999999999</v>
      </c>
      <c r="B13" s="1">
        <f t="shared" si="1"/>
        <v>3.5199999999999996</v>
      </c>
      <c r="C13" s="1">
        <f t="shared" si="2"/>
        <v>31.215995899538427</v>
      </c>
      <c r="D13" s="1">
        <f t="shared" si="3"/>
        <v>27.243243243243242</v>
      </c>
      <c r="E13" s="1">
        <f t="shared" si="4"/>
        <v>193.4954790650636</v>
      </c>
      <c r="F13" s="1">
        <f t="shared" si="5"/>
        <v>-20.258124124830424</v>
      </c>
      <c r="G13" s="1">
        <f t="shared" si="6"/>
        <v>18.552442139876952</v>
      </c>
      <c r="H13" s="1">
        <f t="shared" si="10"/>
        <v>92.50616305410038</v>
      </c>
      <c r="I13" s="1">
        <f t="shared" si="11"/>
        <v>-44.65875975873649</v>
      </c>
      <c r="J13" s="1">
        <f t="shared" si="9"/>
        <v>28.479692006263893</v>
      </c>
      <c r="K13" s="1">
        <f t="shared" si="12"/>
        <v>40.4904347421887</v>
      </c>
      <c r="L13" s="1">
        <f t="shared" si="13"/>
        <v>49.50321365712627</v>
      </c>
      <c r="N13" t="s">
        <v>58</v>
      </c>
      <c r="O13" s="1">
        <v>3.7</v>
      </c>
      <c r="P13" t="s">
        <v>40</v>
      </c>
    </row>
    <row r="14" spans="1:12" ht="12.75">
      <c r="A14" s="1">
        <f t="shared" si="8"/>
        <v>0.6</v>
      </c>
      <c r="B14" s="1">
        <f t="shared" si="1"/>
        <v>3.84</v>
      </c>
      <c r="C14" s="1">
        <f t="shared" si="2"/>
        <v>31.064732414749688</v>
      </c>
      <c r="D14" s="1">
        <f t="shared" si="3"/>
        <v>26.81081081081081</v>
      </c>
      <c r="E14" s="1">
        <f t="shared" si="4"/>
        <v>197.63996549335388</v>
      </c>
      <c r="F14" s="1">
        <f t="shared" si="5"/>
        <v>-20.064278858210816</v>
      </c>
      <c r="G14" s="1">
        <f t="shared" si="6"/>
        <v>18.19312755501495</v>
      </c>
      <c r="H14" s="1">
        <f t="shared" si="10"/>
        <v>94.54402849091433</v>
      </c>
      <c r="I14" s="1">
        <f t="shared" si="11"/>
        <v>-41.64308010562629</v>
      </c>
      <c r="J14" s="1">
        <f t="shared" si="9"/>
        <v>27.789074138371944</v>
      </c>
      <c r="K14" s="1">
        <f t="shared" si="12"/>
        <v>41.122904360593594</v>
      </c>
      <c r="L14" s="1">
        <f t="shared" si="13"/>
        <v>49.63190409926321</v>
      </c>
    </row>
    <row r="15" spans="1:12" ht="12.75">
      <c r="A15" s="1">
        <f t="shared" si="8"/>
        <v>0.65</v>
      </c>
      <c r="B15" s="1">
        <f t="shared" si="1"/>
        <v>4.16</v>
      </c>
      <c r="C15" s="1">
        <f t="shared" si="2"/>
        <v>30.899475723707678</v>
      </c>
      <c r="D15" s="1">
        <f t="shared" si="3"/>
        <v>26.37837837837838</v>
      </c>
      <c r="E15" s="1">
        <f t="shared" si="4"/>
        <v>202.00917010102447</v>
      </c>
      <c r="F15" s="1">
        <f t="shared" si="5"/>
        <v>-19.858045232918933</v>
      </c>
      <c r="G15" s="1">
        <f t="shared" si="6"/>
        <v>17.854480821358138</v>
      </c>
      <c r="H15" s="1">
        <f t="shared" si="10"/>
        <v>96.53173323058274</v>
      </c>
      <c r="I15" s="1">
        <f t="shared" si="11"/>
        <v>-38.58191763362856</v>
      </c>
      <c r="J15" s="1">
        <f t="shared" si="9"/>
        <v>27.10506463184203</v>
      </c>
      <c r="K15" s="1">
        <f t="shared" si="12"/>
        <v>41.74312461815092</v>
      </c>
      <c r="L15" s="1">
        <f t="shared" si="13"/>
        <v>49.77120635048754</v>
      </c>
    </row>
    <row r="16" spans="1:12" ht="12.75">
      <c r="A16" s="1">
        <f t="shared" si="8"/>
        <v>0.7000000000000001</v>
      </c>
      <c r="B16" s="1">
        <f t="shared" si="1"/>
        <v>4.48</v>
      </c>
      <c r="C16" s="1">
        <f t="shared" si="2"/>
        <v>30.72</v>
      </c>
      <c r="D16" s="1">
        <f t="shared" si="3"/>
        <v>25.945945945945944</v>
      </c>
      <c r="E16" s="1">
        <f t="shared" si="4"/>
        <v>206.61509968242197</v>
      </c>
      <c r="F16" s="1">
        <f t="shared" si="5"/>
        <v>-19.64017632769197</v>
      </c>
      <c r="G16" s="1">
        <f t="shared" si="6"/>
        <v>17.53641881477278</v>
      </c>
      <c r="H16" s="1">
        <f t="shared" si="10"/>
        <v>98.46979285716887</v>
      </c>
      <c r="I16" s="1">
        <f t="shared" si="11"/>
        <v>-35.47611895957743</v>
      </c>
      <c r="J16" s="1">
        <f t="shared" si="9"/>
        <v>26.42808581708343</v>
      </c>
      <c r="K16" s="1">
        <f t="shared" si="12"/>
        <v>42.351800100697226</v>
      </c>
      <c r="L16" s="1">
        <f t="shared" si="13"/>
        <v>49.92112470412244</v>
      </c>
    </row>
    <row r="17" spans="1:12" ht="12.75">
      <c r="A17" s="1">
        <f t="shared" si="8"/>
        <v>0.7500000000000001</v>
      </c>
      <c r="B17" s="1">
        <f t="shared" si="1"/>
        <v>4.800000000000001</v>
      </c>
      <c r="C17" s="1">
        <f t="shared" si="2"/>
        <v>30.52605444534226</v>
      </c>
      <c r="D17" s="1">
        <f t="shared" si="3"/>
        <v>25.513513513513512</v>
      </c>
      <c r="E17" s="1">
        <f t="shared" si="4"/>
        <v>211.47063372521407</v>
      </c>
      <c r="F17" s="1">
        <f t="shared" si="5"/>
        <v>-19.411397225051275</v>
      </c>
      <c r="G17" s="1">
        <f t="shared" si="6"/>
        <v>17.238823323403153</v>
      </c>
      <c r="H17" s="1">
        <f t="shared" si="10"/>
        <v>100.35875204293576</v>
      </c>
      <c r="I17" s="1">
        <f t="shared" si="11"/>
        <v>-32.32647923848936</v>
      </c>
      <c r="J17" s="1">
        <f t="shared" si="9"/>
        <v>25.75853435136666</v>
      </c>
      <c r="K17" s="1">
        <f t="shared" si="12"/>
        <v>42.949632560291754</v>
      </c>
      <c r="L17" s="1">
        <f t="shared" si="13"/>
        <v>50.081663600509614</v>
      </c>
    </row>
    <row r="18" spans="1:12" ht="12.75">
      <c r="A18" s="1">
        <f t="shared" si="8"/>
        <v>0.8000000000000002</v>
      </c>
      <c r="B18" s="1">
        <f t="shared" si="1"/>
        <v>5.120000000000001</v>
      </c>
      <c r="C18" s="1">
        <f t="shared" si="2"/>
        <v>30.317361362757147</v>
      </c>
      <c r="D18" s="1">
        <f t="shared" si="3"/>
        <v>25.08108108108108</v>
      </c>
      <c r="E18" s="1">
        <f t="shared" si="4"/>
        <v>216.58959967883624</v>
      </c>
      <c r="F18" s="1">
        <f t="shared" si="5"/>
        <v>-19.17240415786571</v>
      </c>
      <c r="G18" s="1">
        <f t="shared" si="6"/>
        <v>16.961543178709213</v>
      </c>
      <c r="H18" s="1">
        <f aca="true" t="shared" si="14" ref="H18:H52">H17+J18*deltat*22/15</f>
        <v>102.19918273564002</v>
      </c>
      <c r="I18" s="1">
        <f aca="true" t="shared" si="15" ref="I18:I52">I17+K18*deltat*22/15</f>
        <v>-29.133742459092794</v>
      </c>
      <c r="J18" s="1">
        <f t="shared" si="9"/>
        <v>25.096782173239912</v>
      </c>
      <c r="K18" s="1">
        <f aca="true" t="shared" si="16" ref="K18:K52">K17+G17*deltat*15/22</f>
        <v>43.537319719044135</v>
      </c>
      <c r="L18" s="1">
        <f aca="true" t="shared" si="17" ref="L18:L52">SQRT(K18*K18+J18*J18)</f>
        <v>50.252827619640684</v>
      </c>
    </row>
    <row r="19" spans="1:12" ht="12.75">
      <c r="A19" s="1">
        <f t="shared" si="8"/>
        <v>0.8500000000000002</v>
      </c>
      <c r="B19" s="1">
        <f t="shared" si="1"/>
        <v>5.440000000000001</v>
      </c>
      <c r="C19" s="1">
        <f t="shared" si="2"/>
        <v>30.093613940502394</v>
      </c>
      <c r="D19" s="1">
        <f t="shared" si="3"/>
        <v>24.648648648648646</v>
      </c>
      <c r="E19" s="1">
        <f t="shared" si="4"/>
        <v>221.9868561471057</v>
      </c>
      <c r="F19" s="1">
        <f t="shared" si="5"/>
        <v>-18.923863819428004</v>
      </c>
      <c r="G19" s="1">
        <f t="shared" si="6"/>
        <v>16.704396377848337</v>
      </c>
      <c r="H19" s="1">
        <f t="shared" si="14"/>
        <v>103.99168241794962</v>
      </c>
      <c r="I19" s="1">
        <f t="shared" si="15"/>
        <v>-25.898601821749452</v>
      </c>
      <c r="J19" s="1">
        <f t="shared" si="9"/>
        <v>24.443177486039946</v>
      </c>
      <c r="K19" s="1">
        <f t="shared" si="16"/>
        <v>44.11555414559104</v>
      </c>
      <c r="L19" s="1">
        <f t="shared" si="17"/>
        <v>50.43462147361299</v>
      </c>
    </row>
    <row r="20" spans="1:12" ht="12.75">
      <c r="A20" s="1">
        <f t="shared" si="8"/>
        <v>0.9000000000000002</v>
      </c>
      <c r="B20" s="1">
        <f t="shared" si="1"/>
        <v>5.760000000000002</v>
      </c>
      <c r="C20" s="1">
        <f t="shared" si="2"/>
        <v>29.854473701607937</v>
      </c>
      <c r="D20" s="1">
        <f t="shared" si="3"/>
        <v>24.216216216216214</v>
      </c>
      <c r="E20" s="1">
        <f t="shared" si="4"/>
        <v>227.67838499543512</v>
      </c>
      <c r="F20" s="1">
        <f t="shared" si="5"/>
        <v>-18.666412831294938</v>
      </c>
      <c r="G20" s="1">
        <f t="shared" si="6"/>
        <v>16.467172187178974</v>
      </c>
      <c r="H20" s="1">
        <f t="shared" si="14"/>
        <v>105.73687244071064</v>
      </c>
      <c r="I20" s="1">
        <f t="shared" si="15"/>
        <v>-22.621700193461486</v>
      </c>
      <c r="J20" s="1">
        <f t="shared" si="9"/>
        <v>23.79804576492308</v>
      </c>
      <c r="K20" s="1">
        <f t="shared" si="16"/>
        <v>44.68502220392678</v>
      </c>
      <c r="L20" s="1">
        <f t="shared" si="17"/>
        <v>50.627049998936364</v>
      </c>
    </row>
    <row r="21" spans="1:12" ht="12.75">
      <c r="A21" s="1">
        <f t="shared" si="8"/>
        <v>0.9500000000000003</v>
      </c>
      <c r="B21" s="1">
        <f t="shared" si="1"/>
        <v>6.080000000000002</v>
      </c>
      <c r="C21" s="1">
        <f t="shared" si="2"/>
        <v>29.599567564408773</v>
      </c>
      <c r="D21" s="1">
        <f t="shared" si="3"/>
        <v>23.783783783783782</v>
      </c>
      <c r="E21" s="1">
        <f t="shared" si="4"/>
        <v>233.68139350713747</v>
      </c>
      <c r="F21" s="1">
        <f t="shared" si="5"/>
        <v>-18.400657362497753</v>
      </c>
      <c r="G21" s="1">
        <f t="shared" si="6"/>
        <v>16.24963321745244</v>
      </c>
      <c r="H21" s="1">
        <f t="shared" si="14"/>
        <v>107.43539643139343</v>
      </c>
      <c r="I21" s="1">
        <f t="shared" si="15"/>
        <v>-19.303630634705573</v>
      </c>
      <c r="J21" s="1">
        <f t="shared" si="9"/>
        <v>23.161690782038026</v>
      </c>
      <c r="K21" s="1">
        <f t="shared" si="16"/>
        <v>45.24640307394424</v>
      </c>
      <c r="L21" s="1">
        <f t="shared" si="17"/>
        <v>50.83011814871746</v>
      </c>
    </row>
    <row r="22" spans="1:12" ht="12.75">
      <c r="A22" s="1">
        <f t="shared" si="8"/>
        <v>1.0000000000000002</v>
      </c>
      <c r="B22" s="1">
        <f t="shared" si="1"/>
        <v>6.400000000000001</v>
      </c>
      <c r="C22" s="1">
        <f t="shared" si="2"/>
        <v>29.328484447717376</v>
      </c>
      <c r="D22" s="1">
        <f t="shared" si="3"/>
        <v>23.351351351351347</v>
      </c>
      <c r="E22" s="1">
        <f t="shared" si="4"/>
        <v>240.01442789138105</v>
      </c>
      <c r="F22" s="1">
        <f t="shared" si="5"/>
        <v>-18.127172893175526</v>
      </c>
      <c r="G22" s="1">
        <f t="shared" si="6"/>
        <v>16.05151746207133</v>
      </c>
      <c r="H22" s="1">
        <f t="shared" si="14"/>
        <v>109.08791877866997</v>
      </c>
      <c r="I22" s="1">
        <f t="shared" si="15"/>
        <v>-15.944936992906031</v>
      </c>
      <c r="J22" s="1">
        <f t="shared" si="9"/>
        <v>22.53439564468015</v>
      </c>
      <c r="K22" s="1">
        <f t="shared" si="16"/>
        <v>45.80036784272103</v>
      </c>
      <c r="L22" s="1">
        <f t="shared" si="17"/>
        <v>51.04383098474814</v>
      </c>
    </row>
    <row r="23" spans="1:12" ht="12.75">
      <c r="A23" s="1">
        <f t="shared" si="8"/>
        <v>1.0500000000000003</v>
      </c>
      <c r="B23" s="1">
        <f t="shared" si="1"/>
        <v>6.7200000000000015</v>
      </c>
      <c r="C23" s="1">
        <f t="shared" si="2"/>
        <v>29.040771339618374</v>
      </c>
      <c r="D23" s="1">
        <f t="shared" si="3"/>
        <v>22.91891891891892</v>
      </c>
      <c r="E23" s="1">
        <f t="shared" si="4"/>
        <v>246.69749964197297</v>
      </c>
      <c r="F23" s="1">
        <f t="shared" si="5"/>
        <v>-17.846504115221425</v>
      </c>
      <c r="G23" s="1">
        <f t="shared" si="6"/>
        <v>15.872540290620286</v>
      </c>
      <c r="H23" s="1">
        <f t="shared" si="14"/>
        <v>110.69512319371358</v>
      </c>
      <c r="I23" s="1">
        <f t="shared" si="15"/>
        <v>-12.546114557451311</v>
      </c>
      <c r="J23" s="1">
        <f t="shared" si="9"/>
        <v>21.91642384150371</v>
      </c>
      <c r="K23" s="1">
        <f t="shared" si="16"/>
        <v>46.34757866529164</v>
      </c>
      <c r="L23" s="1">
        <f t="shared" si="17"/>
        <v>51.26819366952409</v>
      </c>
    </row>
    <row r="24" spans="1:12" ht="12.75">
      <c r="A24" s="1">
        <f t="shared" si="8"/>
        <v>1.1000000000000003</v>
      </c>
      <c r="B24" s="1">
        <f t="shared" si="1"/>
        <v>7.040000000000002</v>
      </c>
      <c r="C24" s="1">
        <f t="shared" si="2"/>
        <v>28.73592873042387</v>
      </c>
      <c r="D24" s="1">
        <f t="shared" si="3"/>
        <v>22.486486486486484</v>
      </c>
      <c r="E24" s="1">
        <f t="shared" si="4"/>
        <v>253.75222647678655</v>
      </c>
      <c r="F24" s="1">
        <f t="shared" si="5"/>
        <v>-17.559164962156572</v>
      </c>
      <c r="G24" s="1">
        <f t="shared" si="6"/>
        <v>15.712396390707319</v>
      </c>
      <c r="H24" s="1">
        <f t="shared" si="14"/>
        <v>112.25771134846913</v>
      </c>
      <c r="I24" s="1">
        <f t="shared" si="15"/>
        <v>-9.10761077127004</v>
      </c>
      <c r="J24" s="1">
        <f t="shared" si="9"/>
        <v>21.308020292121164</v>
      </c>
      <c r="K24" s="1">
        <f t="shared" si="16"/>
        <v>46.88868799338097</v>
      </c>
      <c r="L24" s="1">
        <f t="shared" si="17"/>
        <v>51.50321145821953</v>
      </c>
    </row>
    <row r="25" spans="1:12" ht="12.75">
      <c r="A25" s="1">
        <f t="shared" si="8"/>
        <v>1.1500000000000004</v>
      </c>
      <c r="B25" s="1">
        <f t="shared" si="1"/>
        <v>7.360000000000002</v>
      </c>
      <c r="C25" s="1">
        <f t="shared" si="2"/>
        <v>28.413405286941583</v>
      </c>
      <c r="D25" s="1">
        <f t="shared" si="3"/>
        <v>22.05405405405405</v>
      </c>
      <c r="E25" s="1">
        <f t="shared" si="4"/>
        <v>261.2019898589932</v>
      </c>
      <c r="F25" s="1">
        <f t="shared" si="5"/>
        <v>-17.265638760157696</v>
      </c>
      <c r="G25" s="1">
        <f t="shared" si="6"/>
        <v>15.570761651983439</v>
      </c>
      <c r="H25" s="1">
        <f t="shared" si="14"/>
        <v>113.77640159081929</v>
      </c>
      <c r="I25" s="1">
        <f t="shared" si="15"/>
        <v>-5.629825994112</v>
      </c>
      <c r="J25" s="1">
        <f t="shared" si="9"/>
        <v>20.70941239568401</v>
      </c>
      <c r="K25" s="1">
        <f t="shared" si="16"/>
        <v>47.4243378703369</v>
      </c>
      <c r="L25" s="1">
        <f t="shared" si="17"/>
        <v>51.74888969064342</v>
      </c>
    </row>
    <row r="26" spans="1:12" ht="12.75">
      <c r="A26" s="1">
        <f t="shared" si="8"/>
        <v>1.2000000000000004</v>
      </c>
      <c r="B26" s="1">
        <f t="shared" si="1"/>
        <v>7.680000000000002</v>
      </c>
      <c r="C26" s="1">
        <f t="shared" si="2"/>
        <v>28.072591615310472</v>
      </c>
      <c r="D26" s="1">
        <f t="shared" si="3"/>
        <v>21.62162162162162</v>
      </c>
      <c r="E26" s="1">
        <f t="shared" si="4"/>
        <v>269.07211142144604</v>
      </c>
      <c r="F26" s="1">
        <f t="shared" si="5"/>
        <v>-16.966378491957318</v>
      </c>
      <c r="G26" s="1">
        <f t="shared" si="6"/>
        <v>15.447294987026815</v>
      </c>
      <c r="H26" s="1">
        <f t="shared" si="14"/>
        <v>115.25192773626905</v>
      </c>
      <c r="I26" s="1">
        <f t="shared" si="15"/>
        <v>-2.1131143128240018</v>
      </c>
      <c r="J26" s="1">
        <f t="shared" si="9"/>
        <v>20.120811074314997</v>
      </c>
      <c r="K26" s="1">
        <f t="shared" si="16"/>
        <v>47.95515929029088</v>
      </c>
      <c r="L26" s="1">
        <f t="shared" si="17"/>
        <v>52.005233783201554</v>
      </c>
    </row>
    <row r="27" spans="1:12" ht="12.75">
      <c r="A27" s="1">
        <f t="shared" si="8"/>
        <v>1.2500000000000004</v>
      </c>
      <c r="B27" s="1">
        <f t="shared" si="1"/>
        <v>8.000000000000004</v>
      </c>
      <c r="C27" s="1">
        <f t="shared" si="2"/>
        <v>27.71281292110203</v>
      </c>
      <c r="D27" s="1">
        <f t="shared" si="3"/>
        <v>21.189189189189186</v>
      </c>
      <c r="E27" s="1">
        <f t="shared" si="4"/>
        <v>277.3900509945611</v>
      </c>
      <c r="F27" s="1">
        <f t="shared" si="5"/>
        <v>-16.661807165206298</v>
      </c>
      <c r="G27" s="1">
        <f t="shared" si="6"/>
        <v>15.341640084578053</v>
      </c>
      <c r="H27" s="1">
        <f t="shared" si="14"/>
        <v>116.68503793548892</v>
      </c>
      <c r="I27" s="1">
        <f t="shared" si="15"/>
        <v>1.442215605931564</v>
      </c>
      <c r="J27" s="1">
        <f t="shared" si="9"/>
        <v>19.542411807543726</v>
      </c>
      <c r="K27" s="1">
        <f t="shared" si="16"/>
        <v>48.48177161939407</v>
      </c>
      <c r="L27" s="1">
        <f t="shared" si="17"/>
        <v>52.27224922088879</v>
      </c>
    </row>
    <row r="28" spans="1:12" ht="12.75">
      <c r="A28" s="1">
        <f t="shared" si="8"/>
        <v>1.3000000000000005</v>
      </c>
      <c r="B28" s="1">
        <f t="shared" si="1"/>
        <v>8.320000000000004</v>
      </c>
      <c r="C28" s="1">
        <f t="shared" si="2"/>
        <v>27.33332032520015</v>
      </c>
      <c r="D28" s="1">
        <f t="shared" si="3"/>
        <v>20.75675675675675</v>
      </c>
      <c r="E28" s="1">
        <f t="shared" si="4"/>
        <v>286.185629388094</v>
      </c>
      <c r="F28" s="1">
        <f t="shared" si="5"/>
        <v>-16.352318276832783</v>
      </c>
      <c r="G28" s="1">
        <f t="shared" si="6"/>
        <v>15.253427091389254</v>
      </c>
      <c r="H28" s="1">
        <f t="shared" si="14"/>
        <v>118.07649361679577</v>
      </c>
      <c r="I28" s="1">
        <f t="shared" si="15"/>
        <v>5.035899624898574</v>
      </c>
      <c r="J28" s="1">
        <f t="shared" si="9"/>
        <v>18.97439565418442</v>
      </c>
      <c r="K28" s="1">
        <f t="shared" si="16"/>
        <v>49.00478207682286</v>
      </c>
      <c r="L28" s="1">
        <f t="shared" si="17"/>
        <v>52.549941549334115</v>
      </c>
    </row>
    <row r="29" spans="1:12" ht="12.75">
      <c r="A29" s="1">
        <f t="shared" si="8"/>
        <v>1.3500000000000005</v>
      </c>
      <c r="B29" s="1">
        <f t="shared" si="1"/>
        <v>8.640000000000004</v>
      </c>
      <c r="C29" s="1">
        <f t="shared" si="2"/>
        <v>26.933280528001035</v>
      </c>
      <c r="D29" s="1">
        <f t="shared" si="3"/>
        <v>20.324324324324323</v>
      </c>
      <c r="E29" s="1">
        <f t="shared" si="4"/>
        <v>295.49127961346113</v>
      </c>
      <c r="F29" s="1">
        <f t="shared" si="5"/>
        <v>-16.03827636494331</v>
      </c>
      <c r="G29" s="1">
        <f t="shared" si="6"/>
        <v>15.182274219695225</v>
      </c>
      <c r="H29" s="1">
        <f t="shared" si="14"/>
        <v>119.42706850241055</v>
      </c>
      <c r="I29" s="1">
        <f t="shared" si="15"/>
        <v>8.667717211594058</v>
      </c>
      <c r="J29" s="1">
        <f t="shared" si="9"/>
        <v>18.416930258383303</v>
      </c>
      <c r="K29" s="1">
        <f t="shared" si="16"/>
        <v>49.52478527312022</v>
      </c>
      <c r="L29" s="1">
        <f t="shared" si="17"/>
        <v>52.83831636692089</v>
      </c>
    </row>
    <row r="30" spans="1:12" ht="12.75">
      <c r="A30" s="1">
        <f t="shared" si="8"/>
        <v>1.4000000000000006</v>
      </c>
      <c r="B30" s="1">
        <f t="shared" si="1"/>
        <v>8.960000000000004</v>
      </c>
      <c r="C30" s="1">
        <f t="shared" si="2"/>
        <v>26.511763426826207</v>
      </c>
      <c r="D30" s="1">
        <f t="shared" si="3"/>
        <v>19.891891891891888</v>
      </c>
      <c r="E30" s="1">
        <f t="shared" si="4"/>
        <v>305.34233087440015</v>
      </c>
      <c r="F30" s="1">
        <f t="shared" si="5"/>
        <v>-15.720017639886489</v>
      </c>
      <c r="G30" s="1">
        <f t="shared" si="6"/>
        <v>15.127789278026446</v>
      </c>
      <c r="H30" s="1">
        <f t="shared" si="14"/>
        <v>120.73754769711297</v>
      </c>
      <c r="I30" s="1">
        <f t="shared" si="15"/>
        <v>12.337490483838778</v>
      </c>
      <c r="J30" s="1">
        <f t="shared" si="9"/>
        <v>17.870170836851145</v>
      </c>
      <c r="K30" s="1">
        <f t="shared" si="16"/>
        <v>50.042362803337106</v>
      </c>
      <c r="L30" s="1">
        <f t="shared" si="17"/>
        <v>53.13737931700304</v>
      </c>
    </row>
    <row r="31" spans="1:12" ht="12.75">
      <c r="A31" s="1">
        <f t="shared" si="8"/>
        <v>1.4500000000000006</v>
      </c>
      <c r="B31" s="1">
        <f t="shared" si="1"/>
        <v>9.280000000000005</v>
      </c>
      <c r="C31" s="1">
        <f t="shared" si="2"/>
        <v>26.06772717365286</v>
      </c>
      <c r="D31" s="1">
        <f t="shared" si="3"/>
        <v>19.459459459459453</v>
      </c>
      <c r="E31" s="1">
        <f t="shared" si="4"/>
        <v>315.7773304231643</v>
      </c>
      <c r="F31" s="1">
        <f t="shared" si="5"/>
        <v>-15.39785068623097</v>
      </c>
      <c r="G31" s="1">
        <f t="shared" si="6"/>
        <v>15.089571123755722</v>
      </c>
      <c r="H31" s="1">
        <f t="shared" si="14"/>
        <v>122.00872684771568</v>
      </c>
      <c r="I31" s="1">
        <f t="shared" si="15"/>
        <v>16.045083229278564</v>
      </c>
      <c r="J31" s="1">
        <f t="shared" si="9"/>
        <v>17.334261144582285</v>
      </c>
      <c r="K31" s="1">
        <f t="shared" si="16"/>
        <v>50.55808289236074</v>
      </c>
      <c r="L31" s="1">
        <f t="shared" si="17"/>
        <v>53.447136080237215</v>
      </c>
    </row>
    <row r="32" spans="1:12" ht="12.75">
      <c r="A32" s="1">
        <f t="shared" si="8"/>
        <v>1.5000000000000007</v>
      </c>
      <c r="B32" s="1">
        <f t="shared" si="1"/>
        <v>9.600000000000005</v>
      </c>
      <c r="C32" s="1">
        <f t="shared" si="2"/>
        <v>25.599999999999994</v>
      </c>
      <c r="D32" s="1">
        <f t="shared" si="3"/>
        <v>19.027027027027025</v>
      </c>
      <c r="E32" s="1">
        <f t="shared" si="4"/>
        <v>326.8384093062027</v>
      </c>
      <c r="F32" s="1">
        <f t="shared" si="5"/>
        <v>-15.072057227591117</v>
      </c>
      <c r="G32" s="1">
        <f t="shared" si="6"/>
        <v>15.06721103640071</v>
      </c>
      <c r="H32" s="1">
        <f t="shared" si="14"/>
        <v>123.24141137160281</v>
      </c>
      <c r="I32" s="1">
        <f t="shared" si="15"/>
        <v>19.790399902527742</v>
      </c>
      <c r="J32" s="1">
        <f t="shared" si="9"/>
        <v>16.809334416642592</v>
      </c>
      <c r="K32" s="1">
        <f t="shared" si="16"/>
        <v>51.0725000897615</v>
      </c>
      <c r="L32" s="1">
        <f t="shared" si="17"/>
        <v>53.76759236704963</v>
      </c>
    </row>
    <row r="33" spans="1:12" ht="12.75">
      <c r="A33" s="1">
        <f t="shared" si="8"/>
        <v>1.5500000000000007</v>
      </c>
      <c r="B33" s="1">
        <f t="shared" si="1"/>
        <v>9.920000000000005</v>
      </c>
      <c r="C33" s="1">
        <f t="shared" si="2"/>
        <v>25.10725791479427</v>
      </c>
      <c r="D33" s="1">
        <f t="shared" si="3"/>
        <v>18.59459459459459</v>
      </c>
      <c r="E33" s="1">
        <f t="shared" si="4"/>
        <v>338.5716991440235</v>
      </c>
      <c r="F33" s="1">
        <f t="shared" si="5"/>
        <v>-14.742892946461026</v>
      </c>
      <c r="G33" s="1">
        <f t="shared" si="6"/>
        <v>15.060294011290619</v>
      </c>
      <c r="H33" s="1">
        <f t="shared" si="14"/>
        <v>124.43641575242096</v>
      </c>
      <c r="I33" s="1">
        <f t="shared" si="15"/>
        <v>23.57338460336792</v>
      </c>
      <c r="J33" s="1">
        <f t="shared" si="9"/>
        <v>16.295514283883804</v>
      </c>
      <c r="K33" s="1">
        <f t="shared" si="16"/>
        <v>51.586155011456974</v>
      </c>
      <c r="L33" s="1">
        <f t="shared" si="17"/>
        <v>54.098753910254985</v>
      </c>
    </row>
    <row r="34" spans="1:12" ht="12.75">
      <c r="A34" s="1">
        <f t="shared" si="8"/>
        <v>1.6000000000000008</v>
      </c>
      <c r="B34" s="1">
        <f t="shared" si="1"/>
        <v>10.240000000000006</v>
      </c>
      <c r="C34" s="1">
        <f t="shared" si="2"/>
        <v>24.58799707174213</v>
      </c>
      <c r="D34" s="1">
        <f t="shared" si="3"/>
        <v>18.162162162162154</v>
      </c>
      <c r="E34" s="1">
        <f t="shared" si="4"/>
        <v>351.02780845082816</v>
      </c>
      <c r="F34" s="1">
        <f t="shared" si="5"/>
        <v>-14.410588351483433</v>
      </c>
      <c r="G34" s="1">
        <f t="shared" si="6"/>
        <v>15.068399973745208</v>
      </c>
      <c r="H34" s="1">
        <f t="shared" si="14"/>
        <v>125.59456290087294</v>
      </c>
      <c r="I34" s="1">
        <f t="shared" si="15"/>
        <v>27.394020039236324</v>
      </c>
      <c r="J34" s="1">
        <f t="shared" si="9"/>
        <v>15.792915660708996</v>
      </c>
      <c r="K34" s="1">
        <f t="shared" si="16"/>
        <v>52.09957412547824</v>
      </c>
      <c r="L34" s="1">
        <f t="shared" si="17"/>
        <v>54.440626457843685</v>
      </c>
    </row>
    <row r="35" spans="1:12" ht="12.75">
      <c r="A35" s="1">
        <f t="shared" si="8"/>
        <v>1.6500000000000008</v>
      </c>
      <c r="B35" s="1">
        <f t="shared" si="1"/>
        <v>10.560000000000006</v>
      </c>
      <c r="C35" s="1">
        <f t="shared" si="2"/>
        <v>24.040499162870965</v>
      </c>
      <c r="D35" s="1">
        <f t="shared" si="3"/>
        <v>17.729729729729723</v>
      </c>
      <c r="E35" s="1">
        <f t="shared" si="4"/>
        <v>364.26236865914626</v>
      </c>
      <c r="F35" s="1">
        <f t="shared" si="5"/>
        <v>-14.075349684879098</v>
      </c>
      <c r="G35" s="1">
        <f t="shared" si="6"/>
        <v>15.091104914406895</v>
      </c>
      <c r="H35" s="1">
        <f t="shared" si="14"/>
        <v>126.71668357844622</v>
      </c>
      <c r="I35" s="1">
        <f t="shared" si="15"/>
        <v>31.25232647503909</v>
      </c>
      <c r="J35" s="1">
        <f t="shared" si="9"/>
        <v>15.30164560327206</v>
      </c>
      <c r="K35" s="1">
        <f t="shared" si="16"/>
        <v>52.61326957912865</v>
      </c>
      <c r="L35" s="1">
        <f t="shared" si="17"/>
        <v>54.79321576595226</v>
      </c>
    </row>
    <row r="36" spans="1:12" ht="12.75">
      <c r="A36" s="1">
        <f t="shared" si="8"/>
        <v>1.7000000000000008</v>
      </c>
      <c r="B36" s="1">
        <f t="shared" si="1"/>
        <v>10.880000000000006</v>
      </c>
      <c r="C36" s="1">
        <f t="shared" si="2"/>
        <v>23.462787558173886</v>
      </c>
      <c r="D36" s="1">
        <f t="shared" si="3"/>
        <v>17.29729729729729</v>
      </c>
      <c r="E36" s="1">
        <f t="shared" si="4"/>
        <v>378.3366620477407</v>
      </c>
      <c r="F36" s="1">
        <f t="shared" si="5"/>
        <v>-13.737359863089365</v>
      </c>
      <c r="G36" s="1">
        <f t="shared" si="6"/>
        <v>15.127981946811996</v>
      </c>
      <c r="H36" s="1">
        <f t="shared" si="14"/>
        <v>127.8036158818073</v>
      </c>
      <c r="I36" s="1">
        <f t="shared" si="15"/>
        <v>35.148360673127875</v>
      </c>
      <c r="J36" s="1">
        <f t="shared" si="9"/>
        <v>14.821804136742092</v>
      </c>
      <c r="K36" s="1">
        <f t="shared" si="16"/>
        <v>53.12773906484706</v>
      </c>
      <c r="L36" s="1">
        <f t="shared" si="17"/>
        <v>55.1565275920305</v>
      </c>
    </row>
    <row r="37" spans="1:12" ht="12.75">
      <c r="A37" s="1">
        <f t="shared" si="8"/>
        <v>1.7500000000000009</v>
      </c>
      <c r="B37" s="1">
        <f t="shared" si="1"/>
        <v>11.200000000000006</v>
      </c>
      <c r="C37" s="1">
        <f t="shared" si="2"/>
        <v>22.85257097133711</v>
      </c>
      <c r="D37" s="1">
        <f t="shared" si="3"/>
        <v>16.864864864864856</v>
      </c>
      <c r="E37" s="1">
        <f t="shared" si="4"/>
        <v>393.31834627327254</v>
      </c>
      <c r="F37" s="1">
        <f t="shared" si="5"/>
        <v>-13.396779444033779</v>
      </c>
      <c r="G37" s="1">
        <f t="shared" si="6"/>
        <v>15.178602288684793</v>
      </c>
      <c r="H37" s="1">
        <f t="shared" si="14"/>
        <v>128.85620478551067</v>
      </c>
      <c r="I37" s="1">
        <f t="shared" si="15"/>
        <v>39.08221482608369</v>
      </c>
      <c r="J37" s="1">
        <f t="shared" si="9"/>
        <v>14.353485050500408</v>
      </c>
      <c r="K37" s="1">
        <f t="shared" si="16"/>
        <v>53.643465722124745</v>
      </c>
      <c r="L37" s="1">
        <f t="shared" si="17"/>
        <v>55.53056768821755</v>
      </c>
    </row>
    <row r="38" spans="1:12" ht="12.75">
      <c r="A38" s="1">
        <f t="shared" si="8"/>
        <v>1.800000000000001</v>
      </c>
      <c r="B38" s="1">
        <f t="shared" si="1"/>
        <v>11.520000000000007</v>
      </c>
      <c r="C38" s="1">
        <f t="shared" si="2"/>
        <v>22.20717001330875</v>
      </c>
      <c r="D38" s="1">
        <f t="shared" si="3"/>
        <v>16.432432432432424</v>
      </c>
      <c r="E38" s="1">
        <f t="shared" si="4"/>
        <v>409.2822933010594</v>
      </c>
      <c r="F38" s="1">
        <f t="shared" si="5"/>
        <v>-13.053747614750913</v>
      </c>
      <c r="G38" s="1">
        <f t="shared" si="6"/>
        <v>15.24253616878904</v>
      </c>
      <c r="H38" s="1">
        <f t="shared" si="14"/>
        <v>129.87530174060396</v>
      </c>
      <c r="I38" s="1">
        <f t="shared" si="15"/>
        <v>43.054015484761216</v>
      </c>
      <c r="J38" s="1">
        <f t="shared" si="9"/>
        <v>13.896776660362892</v>
      </c>
      <c r="K38" s="1">
        <f t="shared" si="16"/>
        <v>54.16091807287536</v>
      </c>
      <c r="L38" s="1">
        <f t="shared" si="17"/>
        <v>55.915341794937845</v>
      </c>
    </row>
    <row r="39" spans="1:12" ht="12.75">
      <c r="A39" s="1">
        <f t="shared" si="8"/>
        <v>1.850000000000001</v>
      </c>
      <c r="B39" s="1">
        <f t="shared" si="1"/>
        <v>11.840000000000007</v>
      </c>
      <c r="C39" s="1">
        <f t="shared" si="2"/>
        <v>21.52341980262429</v>
      </c>
      <c r="D39" s="1">
        <f t="shared" si="3"/>
        <v>15.999999999999993</v>
      </c>
      <c r="E39" s="1">
        <f t="shared" si="4"/>
        <v>426.311564377906</v>
      </c>
      <c r="F39" s="1">
        <f t="shared" si="5"/>
        <v>-12.708383193569482</v>
      </c>
      <c r="G39" s="1">
        <f t="shared" si="6"/>
        <v>15.319353661476734</v>
      </c>
      <c r="H39" s="1">
        <f t="shared" si="14"/>
        <v>130.86176432666036</v>
      </c>
      <c r="I39" s="1">
        <f t="shared" si="15"/>
        <v>47.063922483860715</v>
      </c>
      <c r="J39" s="1">
        <f t="shared" si="9"/>
        <v>13.451762537132748</v>
      </c>
      <c r="K39" s="1">
        <f t="shared" si="16"/>
        <v>54.68054998772044</v>
      </c>
      <c r="L39" s="1">
        <f t="shared" si="17"/>
        <v>56.31085563472644</v>
      </c>
    </row>
    <row r="40" spans="1:12" ht="12.75">
      <c r="A40" s="1">
        <f t="shared" si="8"/>
        <v>1.900000000000001</v>
      </c>
      <c r="B40" s="1">
        <f t="shared" si="1"/>
        <v>12.160000000000007</v>
      </c>
      <c r="C40" s="1">
        <f t="shared" si="2"/>
        <v>20.797538315868042</v>
      </c>
      <c r="D40" s="1">
        <f t="shared" si="3"/>
        <v>15.567567567567558</v>
      </c>
      <c r="E40" s="1">
        <f t="shared" si="4"/>
        <v>444.49854749953937</v>
      </c>
      <c r="F40" s="1">
        <f t="shared" si="5"/>
        <v>-12.360785641343778</v>
      </c>
      <c r="G40" s="1">
        <f t="shared" si="6"/>
        <v>15.408625451335073</v>
      </c>
      <c r="H40" s="1">
        <f t="shared" si="14"/>
        <v>131.81645595473285</v>
      </c>
      <c r="I40" s="1">
        <f t="shared" si="15"/>
        <v>51.112127867113905</v>
      </c>
      <c r="J40" s="1">
        <f t="shared" si="9"/>
        <v>13.018522200988333</v>
      </c>
      <c r="K40" s="1">
        <f t="shared" si="16"/>
        <v>55.20280068072533</v>
      </c>
      <c r="L40" s="1">
        <f t="shared" si="17"/>
        <v>56.71711490629187</v>
      </c>
    </row>
    <row r="41" spans="1:12" ht="12.75">
      <c r="A41" s="1">
        <f t="shared" si="8"/>
        <v>1.950000000000001</v>
      </c>
      <c r="B41" s="1">
        <f t="shared" si="1"/>
        <v>12.480000000000008</v>
      </c>
      <c r="C41" s="1">
        <f t="shared" si="2"/>
        <v>20.02494444436736</v>
      </c>
      <c r="D41" s="1">
        <f t="shared" si="3"/>
        <v>15.135135135135126</v>
      </c>
      <c r="E41" s="1">
        <f t="shared" si="4"/>
        <v>463.94628987148633</v>
      </c>
      <c r="F41" s="1">
        <f t="shared" si="5"/>
        <v>-12.011036076678018</v>
      </c>
      <c r="G41" s="1">
        <f t="shared" si="6"/>
        <v>15.509923530551049</v>
      </c>
      <c r="H41" s="1">
        <f t="shared" si="14"/>
        <v>132.74024561870198</v>
      </c>
      <c r="I41" s="1">
        <f t="shared" si="15"/>
        <v>55.19885481399543</v>
      </c>
      <c r="J41" s="1">
        <f t="shared" si="9"/>
        <v>12.597131781397067</v>
      </c>
      <c r="K41" s="1">
        <f t="shared" si="16"/>
        <v>55.72809473020266</v>
      </c>
      <c r="L41" s="1">
        <f t="shared" si="17"/>
        <v>57.13412527882374</v>
      </c>
    </row>
    <row r="42" spans="1:12" ht="12.75">
      <c r="A42" s="1">
        <f t="shared" si="8"/>
        <v>2.000000000000001</v>
      </c>
      <c r="B42" s="1">
        <f t="shared" si="1"/>
        <v>12.800000000000006</v>
      </c>
      <c r="C42" s="1">
        <f t="shared" si="2"/>
        <v>19.199999999999985</v>
      </c>
      <c r="D42" s="1">
        <f t="shared" si="3"/>
        <v>14.702702702702695</v>
      </c>
      <c r="E42" s="1">
        <f t="shared" si="4"/>
        <v>484.7700655090162</v>
      </c>
      <c r="F42" s="1">
        <f t="shared" si="5"/>
        <v>-11.659198290455297</v>
      </c>
      <c r="G42" s="1">
        <f t="shared" si="6"/>
        <v>15.622821831791644</v>
      </c>
      <c r="H42" s="1">
        <f t="shared" si="14"/>
        <v>133.6340076924794</v>
      </c>
      <c r="I42" s="1">
        <f t="shared" si="15"/>
        <v>59.32435656970334</v>
      </c>
      <c r="J42" s="1">
        <f t="shared" si="9"/>
        <v>12.187664642419408</v>
      </c>
      <c r="K42" s="1">
        <f t="shared" si="16"/>
        <v>56.25684212328963</v>
      </c>
      <c r="L42" s="1">
        <f t="shared" si="17"/>
        <v>57.56189238655045</v>
      </c>
    </row>
    <row r="43" spans="1:12" ht="12.75">
      <c r="A43" s="1">
        <f t="shared" si="8"/>
        <v>2.0500000000000007</v>
      </c>
      <c r="B43" s="1">
        <f t="shared" si="1"/>
        <v>13.120000000000005</v>
      </c>
      <c r="C43" s="1">
        <f t="shared" si="2"/>
        <v>18.315632667205342</v>
      </c>
      <c r="D43" s="1">
        <f t="shared" si="3"/>
        <v>14.270270270270267</v>
      </c>
      <c r="E43" s="1">
        <f t="shared" si="4"/>
        <v>507.0992278540531</v>
      </c>
      <c r="F43" s="1">
        <f t="shared" si="5"/>
        <v>-11.305319755374672</v>
      </c>
      <c r="G43" s="1">
        <f t="shared" si="6"/>
        <v>15.746896799537828</v>
      </c>
      <c r="H43" s="1">
        <f t="shared" si="14"/>
        <v>134.4986217705307</v>
      </c>
      <c r="I43" s="1">
        <f t="shared" si="15"/>
        <v>63.48891537999073</v>
      </c>
      <c r="J43" s="1">
        <f t="shared" si="9"/>
        <v>11.790191973426614</v>
      </c>
      <c r="K43" s="1">
        <f t="shared" si="16"/>
        <v>56.78943832210071</v>
      </c>
      <c r="L43" s="1">
        <f t="shared" si="17"/>
        <v>58.00042182355171</v>
      </c>
    </row>
    <row r="44" spans="1:12" ht="12.75">
      <c r="A44" s="1">
        <f t="shared" si="8"/>
        <v>2.1000000000000005</v>
      </c>
      <c r="B44" s="1">
        <f t="shared" si="1"/>
        <v>13.440000000000003</v>
      </c>
      <c r="C44" s="1">
        <f t="shared" si="2"/>
        <v>17.362764756800676</v>
      </c>
      <c r="D44" s="1">
        <f t="shared" si="3"/>
        <v>13.837837837837835</v>
      </c>
      <c r="E44" s="1">
        <f t="shared" si="4"/>
        <v>531.0794097564462</v>
      </c>
      <c r="F44" s="1">
        <f t="shared" si="5"/>
        <v>-10.949432626581599</v>
      </c>
      <c r="G44" s="1">
        <f t="shared" si="6"/>
        <v>15.881727902915571</v>
      </c>
      <c r="H44" s="1">
        <f t="shared" si="14"/>
        <v>135.33497254919354</v>
      </c>
      <c r="I44" s="1">
        <f t="shared" si="15"/>
        <v>67.69284143227696</v>
      </c>
      <c r="J44" s="1">
        <f t="shared" si="9"/>
        <v>11.404783345402478</v>
      </c>
      <c r="K44" s="1">
        <f t="shared" si="16"/>
        <v>57.32626434935768</v>
      </c>
      <c r="L44" s="1">
        <f t="shared" si="17"/>
        <v>58.44971913882912</v>
      </c>
    </row>
    <row r="45" spans="1:12" ht="12.75">
      <c r="A45" s="1">
        <f t="shared" si="8"/>
        <v>2.1500000000000004</v>
      </c>
      <c r="B45" s="1">
        <f t="shared" si="1"/>
        <v>13.760000000000002</v>
      </c>
      <c r="C45" s="1">
        <f t="shared" si="2"/>
        <v>16.32940905238153</v>
      </c>
      <c r="D45" s="1">
        <f t="shared" si="3"/>
        <v>13.405405405405403</v>
      </c>
      <c r="E45" s="1">
        <f t="shared" si="4"/>
        <v>556.875149256637</v>
      </c>
      <c r="F45" s="1">
        <f t="shared" si="5"/>
        <v>-10.591554729850113</v>
      </c>
      <c r="G45" s="1">
        <f t="shared" si="6"/>
        <v>16.026898093138986</v>
      </c>
      <c r="H45" s="1">
        <f t="shared" si="14"/>
        <v>136.14394974628993</v>
      </c>
      <c r="I45" s="1">
        <f t="shared" si="15"/>
        <v>71.93647180432049</v>
      </c>
      <c r="J45" s="1">
        <f t="shared" si="9"/>
        <v>11.03150723313265</v>
      </c>
      <c r="K45" s="1">
        <f t="shared" si="16"/>
        <v>57.86768689150253</v>
      </c>
      <c r="L45" s="1">
        <f t="shared" si="17"/>
        <v>58.909789831636914</v>
      </c>
    </row>
    <row r="46" spans="1:12" ht="12.75">
      <c r="A46" s="1">
        <f t="shared" si="8"/>
        <v>2.2</v>
      </c>
      <c r="B46" s="1">
        <f t="shared" si="1"/>
        <v>14.080000000000002</v>
      </c>
      <c r="C46" s="1">
        <f t="shared" si="2"/>
        <v>15.199157871408527</v>
      </c>
      <c r="D46" s="1">
        <f t="shared" si="3"/>
        <v>12.972972972972972</v>
      </c>
      <c r="E46" s="1">
        <f t="shared" si="4"/>
        <v>584.6730405233195</v>
      </c>
      <c r="F46" s="1">
        <f t="shared" si="5"/>
        <v>-10.231690534137314</v>
      </c>
      <c r="G46" s="1">
        <f t="shared" si="6"/>
        <v>16.181994208722614</v>
      </c>
      <c r="H46" s="1">
        <f t="shared" si="14"/>
        <v>136.9264480565617</v>
      </c>
      <c r="I46" s="1">
        <f t="shared" si="15"/>
        <v>76.22016942159685</v>
      </c>
      <c r="J46" s="1">
        <f t="shared" si="9"/>
        <v>10.670431503705942</v>
      </c>
      <c r="K46" s="1">
        <f t="shared" si="16"/>
        <v>58.414058417404995</v>
      </c>
      <c r="L46" s="1">
        <f t="shared" si="17"/>
        <v>59.38063934707409</v>
      </c>
    </row>
    <row r="47" spans="1:12" ht="12.75">
      <c r="A47" s="1">
        <f t="shared" si="8"/>
        <v>2.25</v>
      </c>
      <c r="B47" s="1">
        <f t="shared" si="1"/>
        <v>14.4</v>
      </c>
      <c r="C47" s="1">
        <f t="shared" si="2"/>
        <v>13.948476619330153</v>
      </c>
      <c r="D47" s="1">
        <f t="shared" si="3"/>
        <v>12.54054054054054</v>
      </c>
      <c r="E47" s="1">
        <f t="shared" si="4"/>
        <v>614.6855367075816</v>
      </c>
      <c r="F47" s="1">
        <f t="shared" si="5"/>
        <v>-9.869832105680182</v>
      </c>
      <c r="G47" s="1">
        <f t="shared" si="6"/>
        <v>16.346607331633848</v>
      </c>
      <c r="H47" s="1">
        <f t="shared" si="14"/>
        <v>137.68336714049812</v>
      </c>
      <c r="I47" s="1">
        <f t="shared" si="15"/>
        <v>80.54432202439503</v>
      </c>
      <c r="J47" s="1">
        <f t="shared" si="9"/>
        <v>10.321623871860352</v>
      </c>
      <c r="K47" s="1">
        <f t="shared" si="16"/>
        <v>58.96571731088417</v>
      </c>
      <c r="L47" s="1">
        <f t="shared" si="17"/>
        <v>59.86227307193791</v>
      </c>
    </row>
    <row r="48" spans="1:12" ht="12.75">
      <c r="A48" s="1">
        <f t="shared" si="8"/>
        <v>2.3</v>
      </c>
      <c r="B48" s="1">
        <f t="shared" si="1"/>
        <v>14.719999999999999</v>
      </c>
      <c r="C48" s="1">
        <f t="shared" si="2"/>
        <v>12.54138748304988</v>
      </c>
      <c r="D48" s="1">
        <f t="shared" si="3"/>
        <v>12.108108108108112</v>
      </c>
      <c r="E48" s="1">
        <f t="shared" si="4"/>
        <v>647.1555676925854</v>
      </c>
      <c r="F48" s="1">
        <f t="shared" si="5"/>
        <v>-9.505960041139975</v>
      </c>
      <c r="G48" s="1">
        <f t="shared" si="6"/>
        <v>16.520333097546292</v>
      </c>
      <c r="H48" s="1">
        <f t="shared" si="14"/>
        <v>138.41561164417035</v>
      </c>
      <c r="I48" s="1">
        <f t="shared" si="15"/>
        <v>84.90934114552229</v>
      </c>
      <c r="J48" s="1">
        <f t="shared" si="9"/>
        <v>9.985152322803073</v>
      </c>
      <c r="K48" s="1">
        <f t="shared" si="16"/>
        <v>59.52298801537169</v>
      </c>
      <c r="L48" s="1">
        <f t="shared" si="17"/>
        <v>60.354696330837925</v>
      </c>
    </row>
    <row r="49" spans="1:12" ht="12.75">
      <c r="A49" s="1">
        <f t="shared" si="8"/>
        <v>2.3499999999999996</v>
      </c>
      <c r="B49" s="1">
        <f t="shared" si="1"/>
        <v>15.039999999999997</v>
      </c>
      <c r="C49" s="1">
        <f t="shared" si="2"/>
        <v>10.917582149908482</v>
      </c>
      <c r="D49" s="1">
        <f t="shared" si="3"/>
        <v>10.917582149908482</v>
      </c>
      <c r="E49" s="1">
        <f t="shared" si="4"/>
        <v>729.7439528668386</v>
      </c>
      <c r="F49" s="1">
        <f t="shared" si="5"/>
        <v>-8.391564160876246</v>
      </c>
      <c r="G49" s="1">
        <f t="shared" si="6"/>
        <v>16.582425966483235</v>
      </c>
      <c r="H49" s="1">
        <f t="shared" si="14"/>
        <v>139.12409124773973</v>
      </c>
      <c r="I49" s="1">
        <f t="shared" si="15"/>
        <v>89.31566109939341</v>
      </c>
      <c r="J49" s="1">
        <f t="shared" si="9"/>
        <v>9.661085503218755</v>
      </c>
      <c r="K49" s="1">
        <f t="shared" si="16"/>
        <v>60.086181189151674</v>
      </c>
      <c r="L49" s="1">
        <f t="shared" si="17"/>
        <v>60.85791438256875</v>
      </c>
    </row>
    <row r="50" spans="1:12" ht="12.75">
      <c r="A50" s="1">
        <f t="shared" si="8"/>
        <v>2.3999999999999995</v>
      </c>
      <c r="B50" s="1">
        <f t="shared" si="1"/>
        <v>15.359999999999996</v>
      </c>
      <c r="C50" s="1">
        <f t="shared" si="2"/>
        <v>8.960000000000027</v>
      </c>
      <c r="D50" s="1">
        <f t="shared" si="3"/>
        <v>8.960000000000027</v>
      </c>
      <c r="E50" s="1">
        <f t="shared" si="4"/>
        <v>904.2575319823649</v>
      </c>
      <c r="F50" s="1">
        <f t="shared" si="5"/>
        <v>-6.50848450468459</v>
      </c>
      <c r="G50" s="1">
        <f t="shared" si="6"/>
        <v>16.548438882634247</v>
      </c>
      <c r="H50" s="1">
        <f t="shared" si="14"/>
        <v>139.8115919409069</v>
      </c>
      <c r="I50" s="1">
        <f t="shared" si="15"/>
        <v>93.76343711818075</v>
      </c>
      <c r="J50" s="1">
        <f t="shared" si="9"/>
        <v>9.375009452279793</v>
      </c>
      <c r="K50" s="1">
        <f t="shared" si="16"/>
        <v>60.65149116528178</v>
      </c>
      <c r="L50" s="1">
        <f t="shared" si="17"/>
        <v>61.3717702433504</v>
      </c>
    </row>
    <row r="51" spans="1:12" ht="12.75">
      <c r="A51" s="1">
        <f t="shared" si="8"/>
        <v>2.4499999999999993</v>
      </c>
      <c r="B51" s="1">
        <f t="shared" si="1"/>
        <v>15.679999999999996</v>
      </c>
      <c r="C51" s="1">
        <f t="shared" si="2"/>
        <v>6.36791959748241</v>
      </c>
      <c r="D51" s="1">
        <f t="shared" si="3"/>
        <v>6.36791959748241</v>
      </c>
      <c r="E51" s="1">
        <f t="shared" si="4"/>
        <v>1294.1740567554334</v>
      </c>
      <c r="F51" s="1">
        <f t="shared" si="5"/>
        <v>-3.979168026571362</v>
      </c>
      <c r="G51" s="1">
        <f t="shared" si="6"/>
        <v>16.449286361915902</v>
      </c>
      <c r="H51" s="1">
        <f t="shared" si="14"/>
        <v>140.48282142281238</v>
      </c>
      <c r="I51" s="1">
        <f t="shared" si="15"/>
        <v>98.25258423417466</v>
      </c>
      <c r="J51" s="1">
        <f t="shared" si="9"/>
        <v>9.153129298711</v>
      </c>
      <c r="K51" s="1">
        <f t="shared" si="16"/>
        <v>61.215642490826134</v>
      </c>
      <c r="L51" s="1">
        <f t="shared" si="17"/>
        <v>61.89616031325013</v>
      </c>
    </row>
    <row r="52" spans="1:12" ht="12.75">
      <c r="A52" s="1">
        <f t="shared" si="8"/>
        <v>2.499999999999999</v>
      </c>
      <c r="B52" s="1">
        <f t="shared" si="1"/>
        <v>15.999999999999995</v>
      </c>
      <c r="C52" s="1">
        <f t="shared" si="2"/>
        <v>8.259061849445711E-07</v>
      </c>
      <c r="D52" s="1">
        <f t="shared" si="3"/>
        <v>8.259061849445711E-07</v>
      </c>
      <c r="E52" s="1">
        <f t="shared" si="4"/>
        <v>10151585236.290066</v>
      </c>
      <c r="F52" s="1">
        <f t="shared" si="5"/>
        <v>0</v>
      </c>
      <c r="G52" s="1">
        <f t="shared" si="6"/>
        <v>15.832219698922305</v>
      </c>
      <c r="H52" s="1">
        <f t="shared" si="14"/>
        <v>141.14410298465143</v>
      </c>
      <c r="I52" s="1">
        <f t="shared" si="15"/>
        <v>102.78285456607337</v>
      </c>
      <c r="J52" s="1">
        <f t="shared" si="9"/>
        <v>9.017475843259705</v>
      </c>
      <c r="K52" s="1">
        <f t="shared" si="16"/>
        <v>61.77641361680054</v>
      </c>
      <c r="L52" s="1">
        <f t="shared" si="17"/>
        <v>62.431083203303395</v>
      </c>
    </row>
    <row r="53" spans="1:12" ht="12.75">
      <c r="A53" s="1">
        <f aca="true" t="shared" si="18" ref="A53:A67">A52+deltat</f>
        <v>2.549999999999999</v>
      </c>
      <c r="B53" s="1">
        <f t="shared" si="1"/>
        <v>16</v>
      </c>
      <c r="C53" s="1">
        <f t="shared" si="2"/>
        <v>0</v>
      </c>
      <c r="D53" s="1">
        <f aca="true" t="shared" si="19" ref="D53:D67">MAX(0,MIN(C53,g*(1-A53/k_unwind)))</f>
        <v>0</v>
      </c>
      <c r="E53" s="1" t="e">
        <f aca="true" t="shared" si="20" ref="E53:E67">(L53*L53*22*22/(15*15))/D53</f>
        <v>#DIV/0!</v>
      </c>
      <c r="F53" s="1">
        <f aca="true" t="shared" si="21" ref="F53:F67">MIN(0,B53*J53/L53-D53*K53/L53)</f>
        <v>0</v>
      </c>
      <c r="G53" s="1">
        <f aca="true" t="shared" si="22" ref="G53:G67">MAX(0,B53*K53/L53+D53*J53/L53)</f>
        <v>15.835068774815815</v>
      </c>
      <c r="H53" s="1">
        <f aca="true" t="shared" si="23" ref="H53:H67">H52+J53*deltat*22/15</f>
        <v>141.80538454649047</v>
      </c>
      <c r="I53" s="1">
        <f aca="true" t="shared" si="24" ref="I53:I67">I52+K53*deltat*22/15</f>
        <v>107.35270544721938</v>
      </c>
      <c r="J53" s="1">
        <f t="shared" si="9"/>
        <v>9.017475843259705</v>
      </c>
      <c r="K53" s="1">
        <f aca="true" t="shared" si="25" ref="K53:K67">K52+G52*deltat*15/22</f>
        <v>62.3161483792638</v>
      </c>
      <c r="L53" s="1">
        <f aca="true" t="shared" si="26" ref="L53:L67">SQRT(K53*K53+J53*J53)</f>
        <v>62.965206419181975</v>
      </c>
    </row>
    <row r="54" spans="1:12" ht="12.75">
      <c r="A54" s="1">
        <f t="shared" si="18"/>
        <v>2.5999999999999988</v>
      </c>
      <c r="B54" s="1">
        <f t="shared" si="1"/>
        <v>16</v>
      </c>
      <c r="C54" s="1">
        <f t="shared" si="2"/>
        <v>0</v>
      </c>
      <c r="D54" s="1">
        <f t="shared" si="19"/>
        <v>0</v>
      </c>
      <c r="E54" s="1" t="e">
        <f t="shared" si="20"/>
        <v>#DIV/0!</v>
      </c>
      <c r="F54" s="1">
        <f t="shared" si="21"/>
        <v>0</v>
      </c>
      <c r="G54" s="1">
        <f t="shared" si="22"/>
        <v>15.837846862273489</v>
      </c>
      <c r="H54" s="1">
        <f t="shared" si="23"/>
        <v>142.46666610832952</v>
      </c>
      <c r="I54" s="1">
        <f t="shared" si="24"/>
        <v>111.96214400030243</v>
      </c>
      <c r="J54" s="1">
        <f t="shared" si="9"/>
        <v>9.017475843259705</v>
      </c>
      <c r="K54" s="1">
        <f t="shared" si="25"/>
        <v>62.85598026931434</v>
      </c>
      <c r="L54" s="1">
        <f t="shared" si="26"/>
        <v>63.49952067693272</v>
      </c>
    </row>
    <row r="55" spans="1:12" ht="12.75">
      <c r="A55" s="1">
        <f t="shared" si="18"/>
        <v>2.6499999999999986</v>
      </c>
      <c r="B55" s="1">
        <f t="shared" si="1"/>
        <v>16</v>
      </c>
      <c r="C55" s="1">
        <f t="shared" si="2"/>
        <v>0</v>
      </c>
      <c r="D55" s="1">
        <f t="shared" si="19"/>
        <v>0</v>
      </c>
      <c r="E55" s="1" t="e">
        <f t="shared" si="20"/>
        <v>#DIV/0!</v>
      </c>
      <c r="F55" s="1">
        <f t="shared" si="21"/>
        <v>0</v>
      </c>
      <c r="G55" s="1">
        <f t="shared" si="22"/>
        <v>15.840556160516492</v>
      </c>
      <c r="H55" s="1">
        <f t="shared" si="23"/>
        <v>143.12794767016857</v>
      </c>
      <c r="I55" s="1">
        <f t="shared" si="24"/>
        <v>116.61117717054117</v>
      </c>
      <c r="J55" s="1">
        <f t="shared" si="9"/>
        <v>9.017475843259705</v>
      </c>
      <c r="K55" s="1">
        <f t="shared" si="25"/>
        <v>63.39590686689184</v>
      </c>
      <c r="L55" s="1">
        <f t="shared" si="26"/>
        <v>64.0340212547939</v>
      </c>
    </row>
    <row r="56" spans="1:12" ht="12.75">
      <c r="A56" s="1">
        <f t="shared" si="18"/>
        <v>2.6999999999999984</v>
      </c>
      <c r="B56" s="1">
        <f t="shared" si="1"/>
        <v>16</v>
      </c>
      <c r="C56" s="1">
        <f t="shared" si="2"/>
        <v>0</v>
      </c>
      <c r="D56" s="1">
        <f t="shared" si="19"/>
        <v>0</v>
      </c>
      <c r="E56" s="1" t="e">
        <f t="shared" si="20"/>
        <v>#DIV/0!</v>
      </c>
      <c r="F56" s="1">
        <f t="shared" si="21"/>
        <v>0</v>
      </c>
      <c r="G56" s="1">
        <f t="shared" si="22"/>
        <v>15.84319889545532</v>
      </c>
      <c r="H56" s="1">
        <f t="shared" si="23"/>
        <v>143.7892292320076</v>
      </c>
      <c r="I56" s="1">
        <f t="shared" si="24"/>
        <v>121.2998117311812</v>
      </c>
      <c r="J56" s="1">
        <f t="shared" si="9"/>
        <v>9.017475843259705</v>
      </c>
      <c r="K56" s="1">
        <f t="shared" si="25"/>
        <v>63.93592582690945</v>
      </c>
      <c r="L56" s="1">
        <f t="shared" si="26"/>
        <v>64.56870357942645</v>
      </c>
    </row>
    <row r="57" spans="1:12" ht="12.75">
      <c r="A57" s="1">
        <f t="shared" si="18"/>
        <v>2.7499999999999982</v>
      </c>
      <c r="B57" s="1">
        <f t="shared" si="1"/>
        <v>16</v>
      </c>
      <c r="C57" s="1">
        <f t="shared" si="2"/>
        <v>0</v>
      </c>
      <c r="D57" s="1">
        <f t="shared" si="19"/>
        <v>0</v>
      </c>
      <c r="E57" s="1" t="e">
        <f t="shared" si="20"/>
        <v>#DIV/0!</v>
      </c>
      <c r="F57" s="1">
        <f t="shared" si="21"/>
        <v>0</v>
      </c>
      <c r="G57" s="1">
        <f t="shared" si="22"/>
        <v>15.845777204764078</v>
      </c>
      <c r="H57" s="1">
        <f t="shared" si="23"/>
        <v>144.45051079384666</v>
      </c>
      <c r="I57" s="1">
        <f t="shared" si="24"/>
        <v>126.02805428905985</v>
      </c>
      <c r="J57" s="1">
        <f t="shared" si="9"/>
        <v>9.017475843259705</v>
      </c>
      <c r="K57" s="1">
        <f t="shared" si="25"/>
        <v>64.47603488016361</v>
      </c>
      <c r="L57" s="1">
        <f t="shared" si="26"/>
        <v>65.1035632239269</v>
      </c>
    </row>
    <row r="58" spans="1:12" ht="12.75">
      <c r="A58" s="1">
        <f t="shared" si="18"/>
        <v>2.799999999999998</v>
      </c>
      <c r="B58" s="1">
        <f t="shared" si="1"/>
        <v>16</v>
      </c>
      <c r="C58" s="1">
        <f t="shared" si="2"/>
        <v>0</v>
      </c>
      <c r="D58" s="1">
        <f t="shared" si="19"/>
        <v>0</v>
      </c>
      <c r="E58" s="1" t="e">
        <f t="shared" si="20"/>
        <v>#DIV/0!</v>
      </c>
      <c r="F58" s="1">
        <f t="shared" si="21"/>
        <v>0</v>
      </c>
      <c r="G58" s="1">
        <f t="shared" si="22"/>
        <v>15.848293141993008</v>
      </c>
      <c r="H58" s="1">
        <f t="shared" si="23"/>
        <v>145.1117923556857</v>
      </c>
      <c r="I58" s="1">
        <f t="shared" si="24"/>
        <v>130.79591128995042</v>
      </c>
      <c r="J58" s="1">
        <f t="shared" si="9"/>
        <v>9.017475843259705</v>
      </c>
      <c r="K58" s="1">
        <f t="shared" si="25"/>
        <v>65.01623183032602</v>
      </c>
      <c r="L58" s="1">
        <f t="shared" si="26"/>
        <v>65.63859590209461</v>
      </c>
    </row>
    <row r="59" spans="1:12" ht="12.75">
      <c r="A59" s="1">
        <f t="shared" si="18"/>
        <v>2.849999999999998</v>
      </c>
      <c r="B59" s="1">
        <f t="shared" si="1"/>
        <v>16</v>
      </c>
      <c r="C59" s="1">
        <f t="shared" si="2"/>
        <v>0</v>
      </c>
      <c r="D59" s="1">
        <f t="shared" si="19"/>
        <v>0</v>
      </c>
      <c r="E59" s="1" t="e">
        <f t="shared" si="20"/>
        <v>#DIV/0!</v>
      </c>
      <c r="F59" s="1">
        <f t="shared" si="21"/>
        <v>0</v>
      </c>
      <c r="G59" s="1">
        <f t="shared" si="22"/>
        <v>15.850748680462</v>
      </c>
      <c r="H59" s="1">
        <f t="shared" si="23"/>
        <v>145.77307391752475</v>
      </c>
      <c r="I59" s="1">
        <f t="shared" si="24"/>
        <v>135.60338902369597</v>
      </c>
      <c r="J59" s="1">
        <f t="shared" si="9"/>
        <v>9.017475843259705</v>
      </c>
      <c r="K59" s="1">
        <f t="shared" si="25"/>
        <v>65.55651455107578</v>
      </c>
      <c r="L59" s="1">
        <f t="shared" si="26"/>
        <v>66.1737974629625</v>
      </c>
    </row>
    <row r="60" spans="1:12" ht="12.75">
      <c r="A60" s="1">
        <f t="shared" si="18"/>
        <v>2.8999999999999977</v>
      </c>
      <c r="B60" s="1">
        <f t="shared" si="1"/>
        <v>16</v>
      </c>
      <c r="C60" s="1">
        <f t="shared" si="2"/>
        <v>0</v>
      </c>
      <c r="D60" s="1">
        <f t="shared" si="19"/>
        <v>0</v>
      </c>
      <c r="E60" s="1" t="e">
        <f t="shared" si="20"/>
        <v>#DIV/0!</v>
      </c>
      <c r="F60" s="1">
        <f t="shared" si="21"/>
        <v>0</v>
      </c>
      <c r="G60" s="1">
        <f t="shared" si="22"/>
        <v>15.853145716948127</v>
      </c>
      <c r="H60" s="1">
        <f t="shared" si="23"/>
        <v>146.4343554793638</v>
      </c>
      <c r="I60" s="1">
        <f t="shared" si="24"/>
        <v>140.45049362914267</v>
      </c>
      <c r="J60" s="1">
        <f t="shared" si="9"/>
        <v>9.017475843259705</v>
      </c>
      <c r="K60" s="1">
        <f t="shared" si="25"/>
        <v>66.09688098336426</v>
      </c>
      <c r="L60" s="1">
        <f t="shared" si="26"/>
        <v>66.70916388557715</v>
      </c>
    </row>
    <row r="61" spans="1:12" ht="12.75">
      <c r="A61" s="1">
        <f t="shared" si="18"/>
        <v>2.9499999999999975</v>
      </c>
      <c r="B61" s="1">
        <f t="shared" si="1"/>
        <v>16</v>
      </c>
      <c r="C61" s="1">
        <f t="shared" si="2"/>
        <v>0</v>
      </c>
      <c r="D61" s="1">
        <f t="shared" si="19"/>
        <v>0</v>
      </c>
      <c r="E61" s="1" t="e">
        <f t="shared" si="20"/>
        <v>#DIV/0!</v>
      </c>
      <c r="F61" s="1">
        <f t="shared" si="21"/>
        <v>0</v>
      </c>
      <c r="G61" s="1">
        <f t="shared" si="22"/>
        <v>15.855486075179426</v>
      </c>
      <c r="H61" s="1">
        <f t="shared" si="23"/>
        <v>147.09563704120285</v>
      </c>
      <c r="I61" s="1">
        <f t="shared" si="24"/>
        <v>145.33723109888174</v>
      </c>
      <c r="J61" s="1">
        <f t="shared" si="9"/>
        <v>9.017475843259705</v>
      </c>
      <c r="K61" s="1">
        <f t="shared" si="25"/>
        <v>66.63732913280568</v>
      </c>
      <c r="L61" s="1">
        <f t="shared" si="26"/>
        <v>67.24469127401541</v>
      </c>
    </row>
    <row r="62" spans="1:12" ht="12.75">
      <c r="A62" s="1">
        <f t="shared" si="18"/>
        <v>2.9999999999999973</v>
      </c>
      <c r="B62" s="1">
        <f t="shared" si="1"/>
        <v>16</v>
      </c>
      <c r="C62" s="1">
        <f t="shared" si="2"/>
        <v>0</v>
      </c>
      <c r="D62" s="1">
        <f t="shared" si="19"/>
        <v>0</v>
      </c>
      <c r="E62" s="1" t="e">
        <f t="shared" si="20"/>
        <v>#DIV/0!</v>
      </c>
      <c r="F62" s="1">
        <f t="shared" si="21"/>
        <v>0</v>
      </c>
      <c r="G62" s="1">
        <f t="shared" si="22"/>
        <v>15.857771509146291</v>
      </c>
      <c r="H62" s="1">
        <f t="shared" si="23"/>
        <v>147.7569186030419</v>
      </c>
      <c r="I62" s="1">
        <f t="shared" si="24"/>
        <v>150.26360728380877</v>
      </c>
      <c r="J62" s="1">
        <f t="shared" si="9"/>
        <v>9.017475843259705</v>
      </c>
      <c r="K62" s="1">
        <f t="shared" si="25"/>
        <v>67.17785706718679</v>
      </c>
      <c r="L62" s="1">
        <f t="shared" si="26"/>
        <v>67.7803758526253</v>
      </c>
    </row>
    <row r="63" spans="1:12" ht="12.75">
      <c r="A63" s="1">
        <f t="shared" si="18"/>
        <v>3.049999999999997</v>
      </c>
      <c r="B63" s="1">
        <f t="shared" si="1"/>
        <v>16</v>
      </c>
      <c r="C63" s="1">
        <f t="shared" si="2"/>
        <v>0</v>
      </c>
      <c r="D63" s="1">
        <f t="shared" si="19"/>
        <v>0</v>
      </c>
      <c r="E63" s="1" t="e">
        <f t="shared" si="20"/>
        <v>#DIV/0!</v>
      </c>
      <c r="F63" s="1">
        <f t="shared" si="21"/>
        <v>0</v>
      </c>
      <c r="G63" s="1">
        <f t="shared" si="22"/>
        <v>15.860003706241134</v>
      </c>
      <c r="H63" s="1">
        <f t="shared" si="23"/>
        <v>148.41820016488094</v>
      </c>
      <c r="I63" s="1">
        <f t="shared" si="24"/>
        <v>155.22962789750866</v>
      </c>
      <c r="J63" s="1">
        <f t="shared" si="9"/>
        <v>9.017475843259705</v>
      </c>
      <c r="K63" s="1">
        <f t="shared" si="25"/>
        <v>67.71846291408951</v>
      </c>
      <c r="L63" s="1">
        <f t="shared" si="26"/>
        <v>68.31621396147982</v>
      </c>
    </row>
    <row r="64" spans="1:12" ht="12.75">
      <c r="A64" s="1">
        <f t="shared" si="18"/>
        <v>3.099999999999997</v>
      </c>
      <c r="B64" s="1">
        <f t="shared" si="1"/>
        <v>16</v>
      </c>
      <c r="C64" s="1">
        <f t="shared" si="2"/>
        <v>0</v>
      </c>
      <c r="D64" s="1">
        <f t="shared" si="19"/>
        <v>0</v>
      </c>
      <c r="E64" s="1" t="e">
        <f t="shared" si="20"/>
        <v>#DIV/0!</v>
      </c>
      <c r="F64" s="1">
        <f t="shared" si="21"/>
        <v>0</v>
      </c>
      <c r="G64" s="1">
        <f t="shared" si="22"/>
        <v>15.862184290236335</v>
      </c>
      <c r="H64" s="1">
        <f t="shared" si="23"/>
        <v>149.07948172672</v>
      </c>
      <c r="I64" s="1">
        <f t="shared" si="24"/>
        <v>160.23529852047417</v>
      </c>
      <c r="J64" s="1">
        <f t="shared" si="9"/>
        <v>9.017475843259705</v>
      </c>
      <c r="K64" s="1">
        <f t="shared" si="25"/>
        <v>68.25914485862046</v>
      </c>
      <c r="L64" s="1">
        <f t="shared" si="26"/>
        <v>68.85220205203247</v>
      </c>
    </row>
    <row r="65" spans="1:12" ht="12.75">
      <c r="A65" s="1">
        <f t="shared" si="18"/>
        <v>3.149999999999997</v>
      </c>
      <c r="B65" s="1">
        <f t="shared" si="1"/>
        <v>16</v>
      </c>
      <c r="C65" s="1">
        <f t="shared" si="2"/>
        <v>0</v>
      </c>
      <c r="D65" s="1">
        <f t="shared" si="19"/>
        <v>0</v>
      </c>
      <c r="E65" s="1" t="e">
        <f t="shared" si="20"/>
        <v>#DIV/0!</v>
      </c>
      <c r="F65" s="1">
        <f t="shared" si="21"/>
        <v>0</v>
      </c>
      <c r="G65" s="1">
        <f t="shared" si="22"/>
        <v>15.864314824109735</v>
      </c>
      <c r="H65" s="1">
        <f t="shared" si="23"/>
        <v>149.74076328855904</v>
      </c>
      <c r="I65" s="1">
        <f t="shared" si="24"/>
        <v>165.28062460416527</v>
      </c>
      <c r="J65" s="1">
        <f t="shared" si="9"/>
        <v>9.017475843259705</v>
      </c>
      <c r="K65" s="1">
        <f t="shared" si="25"/>
        <v>68.79990114124216</v>
      </c>
      <c r="L65" s="1">
        <f t="shared" si="26"/>
        <v>69.38833668296472</v>
      </c>
    </row>
    <row r="66" spans="1:12" ht="12.75">
      <c r="A66" s="1">
        <f t="shared" si="18"/>
        <v>3.1999999999999966</v>
      </c>
      <c r="B66" s="1">
        <f t="shared" si="1"/>
        <v>16</v>
      </c>
      <c r="C66" s="1">
        <f t="shared" si="2"/>
        <v>0</v>
      </c>
      <c r="D66" s="1">
        <f t="shared" si="19"/>
        <v>0</v>
      </c>
      <c r="E66" s="1" t="e">
        <f t="shared" si="20"/>
        <v>#DIV/0!</v>
      </c>
      <c r="F66" s="1">
        <f t="shared" si="21"/>
        <v>0</v>
      </c>
      <c r="G66" s="1">
        <f t="shared" si="22"/>
        <v>15.866396812726519</v>
      </c>
      <c r="H66" s="1">
        <f t="shared" si="23"/>
        <v>150.40204485039808</v>
      </c>
      <c r="I66" s="1">
        <f t="shared" si="24"/>
        <v>170.36561147491665</v>
      </c>
      <c r="J66" s="1">
        <f t="shared" si="9"/>
        <v>9.017475843259705</v>
      </c>
      <c r="K66" s="1">
        <f t="shared" si="25"/>
        <v>69.34073005570045</v>
      </c>
      <c r="L66" s="1">
        <f t="shared" si="26"/>
        <v>69.92461451621519</v>
      </c>
    </row>
    <row r="67" spans="1:12" ht="12.75">
      <c r="A67" s="1">
        <f t="shared" si="18"/>
        <v>3.2499999999999964</v>
      </c>
      <c r="B67" s="1">
        <f aca="true" t="shared" si="27" ref="B67:B130">amax*MIN(1,(A67/k))</f>
        <v>16</v>
      </c>
      <c r="C67" s="1">
        <f aca="true" t="shared" si="28" ref="C67:C130">g*SQRT(1-B67*B67/(amax*amax))</f>
        <v>0</v>
      </c>
      <c r="D67" s="1">
        <f t="shared" si="19"/>
        <v>0</v>
      </c>
      <c r="E67" s="1" t="e">
        <f t="shared" si="20"/>
        <v>#DIV/0!</v>
      </c>
      <c r="F67" s="1">
        <f t="shared" si="21"/>
        <v>0</v>
      </c>
      <c r="G67" s="1">
        <f t="shared" si="22"/>
        <v>15.868431705385559</v>
      </c>
      <c r="H67" s="1">
        <f t="shared" si="23"/>
        <v>151.06332641223713</v>
      </c>
      <c r="I67" s="1">
        <f t="shared" si="24"/>
        <v>175.49026433769984</v>
      </c>
      <c r="J67" s="1">
        <f t="shared" si="9"/>
        <v>9.017475843259705</v>
      </c>
      <c r="K67" s="1">
        <f t="shared" si="25"/>
        <v>69.8816299470434</v>
      </c>
      <c r="L67" s="1">
        <f t="shared" si="26"/>
        <v>70.46103231318205</v>
      </c>
    </row>
    <row r="68" spans="1:12" ht="12.75">
      <c r="A68" s="1">
        <f aca="true" t="shared" si="29" ref="A68:A73">A67+deltat</f>
        <v>3.2999999999999963</v>
      </c>
      <c r="B68" s="1">
        <f t="shared" si="27"/>
        <v>16</v>
      </c>
      <c r="C68" s="1">
        <f t="shared" si="28"/>
        <v>0</v>
      </c>
      <c r="D68" s="1">
        <f aca="true" t="shared" si="30" ref="D68:D73">MAX(0,MIN(C68,g*(1-A68/k_unwind)))</f>
        <v>0</v>
      </c>
      <c r="E68" s="1" t="e">
        <f aca="true" t="shared" si="31" ref="E68:E73">(L68*L68*22*22/(15*15))/D68</f>
        <v>#DIV/0!</v>
      </c>
      <c r="F68" s="1">
        <f aca="true" t="shared" si="32" ref="F68:F73">MIN(0,B68*J68/L68-D68*K68/L68)</f>
        <v>0</v>
      </c>
      <c r="G68" s="1">
        <f aca="true" t="shared" si="33" ref="G68:G73">MAX(0,B68*K68/L68+D68*J68/L68)</f>
        <v>15.870420898237997</v>
      </c>
      <c r="H68" s="1">
        <f aca="true" t="shared" si="34" ref="H68:H73">H67+J68*deltat*22/15</f>
        <v>151.72460797407618</v>
      </c>
      <c r="I68" s="1">
        <f aca="true" t="shared" si="35" ref="I68:I73">I67+K68*deltat*22/15</f>
        <v>180.6545882797465</v>
      </c>
      <c r="J68" s="1">
        <f aca="true" t="shared" si="36" ref="J68:J85">MAX(0,J67+F67*deltat*15/22)</f>
        <v>9.017475843259705</v>
      </c>
      <c r="K68" s="1">
        <f aca="true" t="shared" si="37" ref="K68:K73">K67+G67*deltat*15/22</f>
        <v>70.422599209727</v>
      </c>
      <c r="L68" s="1">
        <f aca="true" t="shared" si="38" ref="L68:L73">SQRT(K68*K68+J68*J68)</f>
        <v>70.99758693108951</v>
      </c>
    </row>
    <row r="69" spans="1:12" ht="12.75">
      <c r="A69" s="1">
        <f t="shared" si="29"/>
        <v>3.349999999999996</v>
      </c>
      <c r="B69" s="1">
        <f t="shared" si="27"/>
        <v>16</v>
      </c>
      <c r="C69" s="1">
        <f t="shared" si="28"/>
        <v>0</v>
      </c>
      <c r="D69" s="1">
        <f t="shared" si="30"/>
        <v>0</v>
      </c>
      <c r="E69" s="1" t="e">
        <f t="shared" si="31"/>
        <v>#DIV/0!</v>
      </c>
      <c r="F69" s="1">
        <f t="shared" si="32"/>
        <v>0</v>
      </c>
      <c r="G69" s="1">
        <f t="shared" si="33"/>
        <v>15.872365736585195</v>
      </c>
      <c r="H69" s="1">
        <f t="shared" si="34"/>
        <v>152.38588953591523</v>
      </c>
      <c r="I69" s="1">
        <f t="shared" si="35"/>
        <v>185.85858827403874</v>
      </c>
      <c r="J69" s="1">
        <f t="shared" si="36"/>
        <v>9.017475843259705</v>
      </c>
      <c r="K69" s="1">
        <f t="shared" si="37"/>
        <v>70.96363628580329</v>
      </c>
      <c r="L69" s="1">
        <f t="shared" si="38"/>
        <v>71.53427531951064</v>
      </c>
    </row>
    <row r="70" spans="1:12" ht="12.75">
      <c r="A70" s="1">
        <f t="shared" si="29"/>
        <v>3.399999999999996</v>
      </c>
      <c r="B70" s="1">
        <f t="shared" si="27"/>
        <v>16</v>
      </c>
      <c r="C70" s="1">
        <f t="shared" si="28"/>
        <v>0</v>
      </c>
      <c r="D70" s="1">
        <f t="shared" si="30"/>
        <v>0</v>
      </c>
      <c r="E70" s="1" t="e">
        <f t="shared" si="31"/>
        <v>#DIV/0!</v>
      </c>
      <c r="F70" s="1">
        <f t="shared" si="32"/>
        <v>0</v>
      </c>
      <c r="G70" s="1">
        <f t="shared" si="33"/>
        <v>15.874267517062831</v>
      </c>
      <c r="H70" s="1">
        <f t="shared" si="34"/>
        <v>153.04717109775427</v>
      </c>
      <c r="I70" s="1">
        <f t="shared" si="35"/>
        <v>191.10226918267244</v>
      </c>
      <c r="J70" s="1">
        <f t="shared" si="36"/>
        <v>9.017475843259705</v>
      </c>
      <c r="K70" s="1">
        <f t="shared" si="37"/>
        <v>71.50473966318688</v>
      </c>
      <c r="L70" s="1">
        <f t="shared" si="38"/>
        <v>72.07109451703855</v>
      </c>
    </row>
    <row r="71" spans="1:12" ht="12.75">
      <c r="A71" s="1">
        <f t="shared" si="29"/>
        <v>3.4499999999999957</v>
      </c>
      <c r="B71" s="1">
        <f t="shared" si="27"/>
        <v>16</v>
      </c>
      <c r="C71" s="1">
        <f t="shared" si="28"/>
        <v>0</v>
      </c>
      <c r="D71" s="1">
        <f t="shared" si="30"/>
        <v>0</v>
      </c>
      <c r="E71" s="1" t="e">
        <f t="shared" si="31"/>
        <v>#DIV/0!</v>
      </c>
      <c r="F71" s="1">
        <f t="shared" si="32"/>
        <v>0</v>
      </c>
      <c r="G71" s="1">
        <f t="shared" si="33"/>
        <v>15.876127489717458</v>
      </c>
      <c r="H71" s="1">
        <f t="shared" si="34"/>
        <v>153.70845265959332</v>
      </c>
      <c r="I71" s="1">
        <f t="shared" si="35"/>
        <v>196.3856357600988</v>
      </c>
      <c r="J71" s="1">
        <f t="shared" si="36"/>
        <v>9.017475843259705</v>
      </c>
      <c r="K71" s="1">
        <f t="shared" si="37"/>
        <v>72.04590787399584</v>
      </c>
      <c r="L71" s="1">
        <f t="shared" si="38"/>
        <v>72.60804164809893</v>
      </c>
    </row>
    <row r="72" spans="1:12" ht="12.75">
      <c r="A72" s="1">
        <f t="shared" si="29"/>
        <v>3.4999999999999956</v>
      </c>
      <c r="B72" s="1">
        <f t="shared" si="27"/>
        <v>16</v>
      </c>
      <c r="C72" s="1">
        <f t="shared" si="28"/>
        <v>0</v>
      </c>
      <c r="D72" s="1">
        <f t="shared" si="30"/>
        <v>0</v>
      </c>
      <c r="E72" s="1" t="e">
        <f t="shared" si="31"/>
        <v>#DIV/0!</v>
      </c>
      <c r="F72" s="1">
        <f t="shared" si="32"/>
        <v>0</v>
      </c>
      <c r="G72" s="1">
        <f t="shared" si="33"/>
        <v>15.87794685998147</v>
      </c>
      <c r="H72" s="1">
        <f t="shared" si="34"/>
        <v>154.36973422143237</v>
      </c>
      <c r="I72" s="1">
        <f t="shared" si="35"/>
        <v>201.70869265624947</v>
      </c>
      <c r="J72" s="1">
        <f t="shared" si="36"/>
        <v>9.017475843259705</v>
      </c>
      <c r="K72" s="1">
        <f t="shared" si="37"/>
        <v>72.58713949296349</v>
      </c>
      <c r="L72" s="1">
        <f t="shared" si="38"/>
        <v>73.14511391989701</v>
      </c>
    </row>
    <row r="73" spans="1:12" ht="12.75">
      <c r="A73" s="1">
        <f t="shared" si="29"/>
        <v>3.5499999999999954</v>
      </c>
      <c r="B73" s="1">
        <f t="shared" si="27"/>
        <v>16</v>
      </c>
      <c r="C73" s="1">
        <f t="shared" si="28"/>
        <v>0</v>
      </c>
      <c r="D73" s="1">
        <f t="shared" si="30"/>
        <v>0</v>
      </c>
      <c r="E73" s="1" t="e">
        <f t="shared" si="31"/>
        <v>#DIV/0!</v>
      </c>
      <c r="F73" s="1">
        <f t="shared" si="32"/>
        <v>0</v>
      </c>
      <c r="G73" s="1">
        <f t="shared" si="33"/>
        <v>15.879726790552075</v>
      </c>
      <c r="H73" s="1">
        <f t="shared" si="34"/>
        <v>155.0310157832714</v>
      </c>
      <c r="I73" s="1">
        <f t="shared" si="35"/>
        <v>207.0714444195501</v>
      </c>
      <c r="J73" s="1">
        <f t="shared" si="36"/>
        <v>9.017475843259705</v>
      </c>
      <c r="K73" s="1">
        <f t="shared" si="37"/>
        <v>73.1284331359174</v>
      </c>
      <c r="L73" s="1">
        <f t="shared" si="38"/>
        <v>73.68230861949233</v>
      </c>
    </row>
    <row r="74" spans="1:12" ht="12.75">
      <c r="A74" s="1">
        <f aca="true" t="shared" si="39" ref="A74:A85">A73+deltat</f>
        <v>3.599999999999995</v>
      </c>
      <c r="B74" s="1">
        <f t="shared" si="27"/>
        <v>16</v>
      </c>
      <c r="C74" s="1">
        <f t="shared" si="28"/>
        <v>0</v>
      </c>
      <c r="D74" s="1">
        <f aca="true" t="shared" si="40" ref="D74:D85">MAX(0,MIN(C74,g*(1-A74/k_unwind)))</f>
        <v>0</v>
      </c>
      <c r="E74" s="1" t="e">
        <f aca="true" t="shared" si="41" ref="E74:E85">(L74*L74*22*22/(15*15))/D74</f>
        <v>#DIV/0!</v>
      </c>
      <c r="F74" s="1">
        <f aca="true" t="shared" si="42" ref="F74:F85">MIN(0,B74*J74/L74-D74*K74/L74)</f>
        <v>0</v>
      </c>
      <c r="G74" s="1">
        <f aca="true" t="shared" si="43" ref="G74:G85">MAX(0,B74*K74/L74+D74*J74/L74)</f>
        <v>15.881468403179468</v>
      </c>
      <c r="H74" s="1">
        <f aca="true" t="shared" si="44" ref="H74:H85">H73+J74*deltat*22/15</f>
        <v>155.69229734511046</v>
      </c>
      <c r="I74" s="1">
        <f aca="true" t="shared" si="45" ref="I74:I85">I73+K74*deltat*22/15</f>
        <v>212.47389549982708</v>
      </c>
      <c r="J74" s="1">
        <f t="shared" si="36"/>
        <v>9.017475843259705</v>
      </c>
      <c r="K74" s="1">
        <f aca="true" t="shared" si="46" ref="K74:K85">K73+G73*deltat*15/22</f>
        <v>73.66978745832259</v>
      </c>
      <c r="L74" s="1">
        <f aca="true" t="shared" si="47" ref="L74:L85">SQRT(K74*K74+J74*J74)</f>
        <v>74.21962311099536</v>
      </c>
    </row>
    <row r="75" spans="1:12" ht="12.75">
      <c r="A75" s="1">
        <f t="shared" si="39"/>
        <v>3.649999999999995</v>
      </c>
      <c r="B75" s="1">
        <f t="shared" si="27"/>
        <v>16</v>
      </c>
      <c r="C75" s="1">
        <f t="shared" si="28"/>
        <v>0</v>
      </c>
      <c r="D75" s="1">
        <f t="shared" si="40"/>
        <v>0</v>
      </c>
      <c r="E75" s="1" t="e">
        <f t="shared" si="41"/>
        <v>#DIV/0!</v>
      </c>
      <c r="F75" s="1">
        <f t="shared" si="42"/>
        <v>0</v>
      </c>
      <c r="G75" s="1">
        <f t="shared" si="43"/>
        <v>15.883172780369204</v>
      </c>
      <c r="H75" s="1">
        <f t="shared" si="44"/>
        <v>156.3535789069495</v>
      </c>
      <c r="I75" s="1">
        <f t="shared" si="45"/>
        <v>217.916050251112</v>
      </c>
      <c r="J75" s="1">
        <f t="shared" si="36"/>
        <v>9.017475843259705</v>
      </c>
      <c r="K75" s="1">
        <f t="shared" si="46"/>
        <v>74.21120115388553</v>
      </c>
      <c r="L75" s="1">
        <f t="shared" si="47"/>
        <v>74.75705483288004</v>
      </c>
    </row>
    <row r="76" spans="1:12" ht="12.75">
      <c r="A76" s="1">
        <f t="shared" si="39"/>
        <v>3.699999999999995</v>
      </c>
      <c r="B76" s="1">
        <f t="shared" si="27"/>
        <v>16</v>
      </c>
      <c r="C76" s="1">
        <f t="shared" si="28"/>
        <v>0</v>
      </c>
      <c r="D76" s="1">
        <f t="shared" si="40"/>
        <v>0</v>
      </c>
      <c r="E76" s="1" t="e">
        <f t="shared" si="41"/>
        <v>#DIV/0!</v>
      </c>
      <c r="F76" s="1">
        <f t="shared" si="42"/>
        <v>0</v>
      </c>
      <c r="G76" s="1">
        <f t="shared" si="43"/>
        <v>15.884840967003326</v>
      </c>
      <c r="H76" s="1">
        <f t="shared" si="44"/>
        <v>157.01486046878856</v>
      </c>
      <c r="I76" s="1">
        <f t="shared" si="45"/>
        <v>223.3979129343479</v>
      </c>
      <c r="J76" s="1">
        <f t="shared" si="36"/>
        <v>9.017475843259705</v>
      </c>
      <c r="K76" s="1">
        <f t="shared" si="46"/>
        <v>74.75267295321629</v>
      </c>
      <c r="L76" s="1">
        <f t="shared" si="47"/>
        <v>75.29460129540686</v>
      </c>
    </row>
    <row r="77" spans="1:12" ht="12.75">
      <c r="A77" s="1">
        <f t="shared" si="39"/>
        <v>3.7499999999999947</v>
      </c>
      <c r="B77" s="1">
        <f t="shared" si="27"/>
        <v>16</v>
      </c>
      <c r="C77" s="1">
        <f t="shared" si="28"/>
        <v>0</v>
      </c>
      <c r="D77" s="1">
        <f t="shared" si="40"/>
        <v>0</v>
      </c>
      <c r="E77" s="1" t="e">
        <f t="shared" si="41"/>
        <v>#DIV/0!</v>
      </c>
      <c r="F77" s="1">
        <f t="shared" si="42"/>
        <v>0</v>
      </c>
      <c r="G77" s="1">
        <f t="shared" si="43"/>
        <v>15.886473971884621</v>
      </c>
      <c r="H77" s="1">
        <f t="shared" si="44"/>
        <v>157.6761420306276</v>
      </c>
      <c r="I77" s="1">
        <f t="shared" si="45"/>
        <v>228.91948772000126</v>
      </c>
      <c r="J77" s="1">
        <f t="shared" si="36"/>
        <v>9.017475843259705</v>
      </c>
      <c r="K77" s="1">
        <f t="shared" si="46"/>
        <v>75.29420162254596</v>
      </c>
      <c r="L77" s="1">
        <f t="shared" si="47"/>
        <v>75.83226007815126</v>
      </c>
    </row>
    <row r="78" spans="1:12" ht="12.75">
      <c r="A78" s="1">
        <f t="shared" si="39"/>
        <v>3.7999999999999945</v>
      </c>
      <c r="B78" s="1">
        <f t="shared" si="27"/>
        <v>16</v>
      </c>
      <c r="C78" s="1">
        <f t="shared" si="28"/>
        <v>0</v>
      </c>
      <c r="D78" s="1">
        <f t="shared" si="40"/>
        <v>0</v>
      </c>
      <c r="E78" s="1" t="e">
        <f t="shared" si="41"/>
        <v>#DIV/0!</v>
      </c>
      <c r="F78" s="1">
        <f t="shared" si="42"/>
        <v>0</v>
      </c>
      <c r="G78" s="1">
        <f t="shared" si="43"/>
        <v>15.88807276920817</v>
      </c>
      <c r="H78" s="1">
        <f t="shared" si="44"/>
        <v>158.33742359246665</v>
      </c>
      <c r="I78" s="1">
        <f t="shared" si="45"/>
        <v>234.48077869058434</v>
      </c>
      <c r="J78" s="1">
        <f t="shared" si="36"/>
        <v>9.017475843259705</v>
      </c>
      <c r="K78" s="1">
        <f t="shared" si="46"/>
        <v>75.83578596249657</v>
      </c>
      <c r="L78" s="1">
        <f t="shared" si="47"/>
        <v>76.37002882763214</v>
      </c>
    </row>
    <row r="79" spans="1:12" ht="12.75">
      <c r="A79" s="1">
        <f t="shared" si="39"/>
        <v>3.8499999999999943</v>
      </c>
      <c r="B79" s="1">
        <f t="shared" si="27"/>
        <v>16</v>
      </c>
      <c r="C79" s="1">
        <f t="shared" si="28"/>
        <v>0</v>
      </c>
      <c r="D79" s="1">
        <f t="shared" si="40"/>
        <v>0</v>
      </c>
      <c r="E79" s="1" t="e">
        <f t="shared" si="41"/>
        <v>#DIV/0!</v>
      </c>
      <c r="F79" s="1">
        <f t="shared" si="42"/>
        <v>0</v>
      </c>
      <c r="G79" s="1">
        <f t="shared" si="43"/>
        <v>15.889638299963922</v>
      </c>
      <c r="H79" s="1">
        <f t="shared" si="44"/>
        <v>158.9987051543057</v>
      </c>
      <c r="I79" s="1">
        <f t="shared" si="45"/>
        <v>240.08178984309043</v>
      </c>
      <c r="J79" s="1">
        <f t="shared" si="36"/>
        <v>9.017475843259705</v>
      </c>
      <c r="K79" s="1">
        <f t="shared" si="46"/>
        <v>76.3774248069014</v>
      </c>
      <c r="L79" s="1">
        <f t="shared" si="47"/>
        <v>76.90790525503637</v>
      </c>
    </row>
    <row r="80" spans="1:12" ht="12.75">
      <c r="A80" s="1">
        <f t="shared" si="39"/>
        <v>3.899999999999994</v>
      </c>
      <c r="B80" s="1">
        <f t="shared" si="27"/>
        <v>16</v>
      </c>
      <c r="C80" s="1">
        <f t="shared" si="28"/>
        <v>0</v>
      </c>
      <c r="D80" s="1">
        <f t="shared" si="40"/>
        <v>0</v>
      </c>
      <c r="E80" s="1" t="e">
        <f t="shared" si="41"/>
        <v>#DIV/0!</v>
      </c>
      <c r="F80" s="1">
        <f t="shared" si="42"/>
        <v>0</v>
      </c>
      <c r="G80" s="1">
        <f t="shared" si="43"/>
        <v>15.89117147327403</v>
      </c>
      <c r="H80" s="1">
        <f t="shared" si="44"/>
        <v>159.65998671614474</v>
      </c>
      <c r="I80" s="1">
        <f t="shared" si="45"/>
        <v>245.72252509134645</v>
      </c>
      <c r="J80" s="1">
        <f t="shared" si="36"/>
        <v>9.017475843259705</v>
      </c>
      <c r="K80" s="1">
        <f t="shared" si="46"/>
        <v>76.9191170216729</v>
      </c>
      <c r="L80" s="1">
        <f t="shared" si="47"/>
        <v>77.44588713403432</v>
      </c>
    </row>
    <row r="81" spans="1:12" ht="12.75">
      <c r="A81" s="1">
        <f t="shared" si="39"/>
        <v>3.949999999999994</v>
      </c>
      <c r="B81" s="1">
        <f t="shared" si="27"/>
        <v>16</v>
      </c>
      <c r="C81" s="1">
        <f t="shared" si="28"/>
        <v>0</v>
      </c>
      <c r="D81" s="1">
        <f t="shared" si="40"/>
        <v>0</v>
      </c>
      <c r="E81" s="1" t="e">
        <f t="shared" si="41"/>
        <v>#DIV/0!</v>
      </c>
      <c r="F81" s="1">
        <f t="shared" si="42"/>
        <v>0</v>
      </c>
      <c r="G81" s="1">
        <f t="shared" si="43"/>
        <v>15.892673167668304</v>
      </c>
      <c r="H81" s="1">
        <f t="shared" si="44"/>
        <v>160.3212682779838</v>
      </c>
      <c r="I81" s="1">
        <f t="shared" si="45"/>
        <v>251.40298826828564</v>
      </c>
      <c r="J81" s="1">
        <f t="shared" si="36"/>
        <v>9.017475843259705</v>
      </c>
      <c r="K81" s="1">
        <f t="shared" si="46"/>
        <v>77.46086150371633</v>
      </c>
      <c r="L81" s="1">
        <f t="shared" si="47"/>
        <v>77.9839722986826</v>
      </c>
    </row>
    <row r="82" spans="1:12" ht="12.75">
      <c r="A82" s="1">
        <f t="shared" si="39"/>
        <v>3.999999999999994</v>
      </c>
      <c r="B82" s="1">
        <f t="shared" si="27"/>
        <v>16</v>
      </c>
      <c r="C82" s="1">
        <f t="shared" si="28"/>
        <v>0</v>
      </c>
      <c r="D82" s="1">
        <f t="shared" si="40"/>
        <v>0</v>
      </c>
      <c r="E82" s="1" t="e">
        <f t="shared" si="41"/>
        <v>#DIV/0!</v>
      </c>
      <c r="F82" s="1">
        <f t="shared" si="42"/>
        <v>0</v>
      </c>
      <c r="G82" s="1">
        <f t="shared" si="43"/>
        <v>15.894144232301027</v>
      </c>
      <c r="H82" s="1">
        <f t="shared" si="44"/>
        <v>160.98254983982284</v>
      </c>
      <c r="I82" s="1">
        <f t="shared" si="45"/>
        <v>257.12318312814403</v>
      </c>
      <c r="J82" s="1">
        <f t="shared" si="36"/>
        <v>9.017475843259705</v>
      </c>
      <c r="K82" s="1">
        <f t="shared" si="46"/>
        <v>78.00265717988684</v>
      </c>
      <c r="L82" s="1">
        <f t="shared" si="47"/>
        <v>78.52215864140977</v>
      </c>
    </row>
    <row r="83" spans="1:12" ht="12.75">
      <c r="A83" s="1">
        <f t="shared" si="39"/>
        <v>4.049999999999994</v>
      </c>
      <c r="B83" s="1">
        <f t="shared" si="27"/>
        <v>16</v>
      </c>
      <c r="C83" s="1">
        <f t="shared" si="28"/>
        <v>0</v>
      </c>
      <c r="D83" s="1">
        <f t="shared" si="40"/>
        <v>0</v>
      </c>
      <c r="E83" s="1" t="e">
        <f t="shared" si="41"/>
        <v>#DIV/0!</v>
      </c>
      <c r="F83" s="1">
        <f t="shared" si="42"/>
        <v>0</v>
      </c>
      <c r="G83" s="1">
        <f t="shared" si="43"/>
        <v>15.895585488112154</v>
      </c>
      <c r="H83" s="1">
        <f t="shared" si="44"/>
        <v>161.64383140166188</v>
      </c>
      <c r="I83" s="1">
        <f t="shared" si="45"/>
        <v>262.88311334858315</v>
      </c>
      <c r="J83" s="1">
        <f t="shared" si="36"/>
        <v>9.017475843259705</v>
      </c>
      <c r="K83" s="1">
        <f t="shared" si="46"/>
        <v>78.544503005988</v>
      </c>
      <c r="L83" s="1">
        <f t="shared" si="47"/>
        <v>79.06044411108144</v>
      </c>
    </row>
    <row r="84" spans="1:12" ht="12.75">
      <c r="A84" s="1">
        <f t="shared" si="39"/>
        <v>4.099999999999993</v>
      </c>
      <c r="B84" s="1">
        <f t="shared" si="27"/>
        <v>16</v>
      </c>
      <c r="C84" s="1">
        <f t="shared" si="28"/>
        <v>0</v>
      </c>
      <c r="D84" s="1">
        <f t="shared" si="40"/>
        <v>0</v>
      </c>
      <c r="E84" s="1" t="e">
        <f t="shared" si="41"/>
        <v>#DIV/0!</v>
      </c>
      <c r="F84" s="1">
        <f t="shared" si="42"/>
        <v>0</v>
      </c>
      <c r="G84" s="1">
        <f t="shared" si="43"/>
        <v>15.896997728935773</v>
      </c>
      <c r="H84" s="1">
        <f t="shared" si="44"/>
        <v>162.30511296350093</v>
      </c>
      <c r="I84" s="1">
        <f t="shared" si="45"/>
        <v>268.6827825327426</v>
      </c>
      <c r="J84" s="1">
        <f t="shared" si="36"/>
        <v>9.017475843259705</v>
      </c>
      <c r="K84" s="1">
        <f t="shared" si="46"/>
        <v>79.08639796581001</v>
      </c>
      <c r="L84" s="1">
        <f t="shared" si="47"/>
        <v>79.59882671114097</v>
      </c>
    </row>
    <row r="85" spans="1:12" ht="12.75">
      <c r="A85" s="1">
        <f t="shared" si="39"/>
        <v>4.149999999999993</v>
      </c>
      <c r="B85" s="1">
        <f t="shared" si="27"/>
        <v>16</v>
      </c>
      <c r="C85" s="1">
        <f t="shared" si="28"/>
        <v>0</v>
      </c>
      <c r="D85" s="1">
        <f t="shared" si="40"/>
        <v>0</v>
      </c>
      <c r="E85" s="1" t="e">
        <f t="shared" si="41"/>
        <v>#DIV/0!</v>
      </c>
      <c r="F85" s="1">
        <f t="shared" si="42"/>
        <v>0</v>
      </c>
      <c r="G85" s="1">
        <f t="shared" si="43"/>
        <v>15.89838172255849</v>
      </c>
      <c r="H85" s="1">
        <f t="shared" si="44"/>
        <v>162.96639452533998</v>
      </c>
      <c r="I85" s="1">
        <f t="shared" si="45"/>
        <v>274.5221942112243</v>
      </c>
      <c r="J85" s="1">
        <f t="shared" si="36"/>
        <v>9.017475843259705</v>
      </c>
      <c r="K85" s="1">
        <f t="shared" si="46"/>
        <v>79.62834107020555</v>
      </c>
      <c r="L85" s="1">
        <f t="shared" si="47"/>
        <v>80.13730449782271</v>
      </c>
    </row>
    <row r="86" spans="1:12" ht="12.75">
      <c r="A86" s="1">
        <f aca="true" t="shared" si="48" ref="A86:A149">A85+deltat</f>
        <v>4.199999999999993</v>
      </c>
      <c r="B86" s="1">
        <f t="shared" si="27"/>
        <v>16</v>
      </c>
      <c r="C86" s="1">
        <f t="shared" si="28"/>
        <v>0</v>
      </c>
      <c r="D86" s="1">
        <f aca="true" t="shared" si="49" ref="D86:D149">MAX(0,MIN(C86,g*(1-A86/k_unwind)))</f>
        <v>0</v>
      </c>
      <c r="E86" s="1" t="e">
        <f aca="true" t="shared" si="50" ref="E86:E149">(L86*L86*22*22/(15*15))/D86</f>
        <v>#DIV/0!</v>
      </c>
      <c r="F86" s="1">
        <f aca="true" t="shared" si="51" ref="F86:F149">MIN(0,B86*J86/L86-D86*K86/L86)</f>
        <v>0</v>
      </c>
      <c r="G86" s="1">
        <f aca="true" t="shared" si="52" ref="G86:G149">MAX(0,B86*K86/L86+D86*J86/L86)</f>
        <v>15.899738211730327</v>
      </c>
      <c r="H86" s="1">
        <f aca="true" t="shared" si="53" ref="H86:H149">H85+J86*deltat*22/15</f>
        <v>163.62767608717903</v>
      </c>
      <c r="I86" s="1">
        <f aca="true" t="shared" si="54" ref="I86:I149">I85+K86*deltat*22/15</f>
        <v>280.4013518440124</v>
      </c>
      <c r="J86" s="1">
        <f aca="true" t="shared" si="55" ref="J86:J149">MAX(0,J85+F85*deltat*15/22)</f>
        <v>9.017475843259705</v>
      </c>
      <c r="K86" s="1">
        <f aca="true" t="shared" si="56" ref="K86:K149">K85+G85*deltat*15/22</f>
        <v>80.17033135620186</v>
      </c>
      <c r="L86" s="1">
        <f aca="true" t="shared" si="57" ref="L86:L149">SQRT(K86*K86+J86*J86)</f>
        <v>80.67587557843407</v>
      </c>
    </row>
    <row r="87" spans="1:12" ht="12.75">
      <c r="A87" s="1">
        <f t="shared" si="48"/>
        <v>4.249999999999993</v>
      </c>
      <c r="B87" s="1">
        <f t="shared" si="27"/>
        <v>16</v>
      </c>
      <c r="C87" s="1">
        <f t="shared" si="28"/>
        <v>0</v>
      </c>
      <c r="D87" s="1">
        <f t="shared" si="49"/>
        <v>0</v>
      </c>
      <c r="E87" s="1" t="e">
        <f t="shared" si="50"/>
        <v>#DIV/0!</v>
      </c>
      <c r="F87" s="1">
        <f t="shared" si="51"/>
        <v>0</v>
      </c>
      <c r="G87" s="1">
        <f t="shared" si="52"/>
        <v>15.901067915130502</v>
      </c>
      <c r="H87" s="1">
        <f t="shared" si="53"/>
        <v>164.28895764901807</v>
      </c>
      <c r="I87" s="1">
        <f t="shared" si="54"/>
        <v>286.3202588223299</v>
      </c>
      <c r="J87" s="1">
        <f t="shared" si="55"/>
        <v>9.017475843259705</v>
      </c>
      <c r="K87" s="1">
        <f t="shared" si="56"/>
        <v>80.7123678861472</v>
      </c>
      <c r="L87" s="1">
        <f t="shared" si="57"/>
        <v>81.21453810970385</v>
      </c>
    </row>
    <row r="88" spans="1:12" ht="12.75">
      <c r="A88" s="1">
        <f t="shared" si="48"/>
        <v>4.299999999999993</v>
      </c>
      <c r="B88" s="1">
        <f t="shared" si="27"/>
        <v>16</v>
      </c>
      <c r="C88" s="1">
        <f t="shared" si="28"/>
        <v>0</v>
      </c>
      <c r="D88" s="1">
        <f t="shared" si="49"/>
        <v>0</v>
      </c>
      <c r="E88" s="1" t="e">
        <f t="shared" si="50"/>
        <v>#DIV/0!</v>
      </c>
      <c r="F88" s="1">
        <f t="shared" si="51"/>
        <v>0</v>
      </c>
      <c r="G88" s="1">
        <f t="shared" si="52"/>
        <v>15.902371528290361</v>
      </c>
      <c r="H88" s="1">
        <f t="shared" si="53"/>
        <v>164.95023921085712</v>
      </c>
      <c r="I88" s="1">
        <f t="shared" si="54"/>
        <v>292.2789184704352</v>
      </c>
      <c r="J88" s="1">
        <f t="shared" si="55"/>
        <v>9.017475843259705</v>
      </c>
      <c r="K88" s="1">
        <f t="shared" si="56"/>
        <v>81.25444974689029</v>
      </c>
      <c r="L88" s="1">
        <f t="shared" si="57"/>
        <v>81.75329029619353</v>
      </c>
    </row>
    <row r="89" spans="1:12" ht="12.75">
      <c r="A89" s="1">
        <f t="shared" si="48"/>
        <v>4.3499999999999925</v>
      </c>
      <c r="B89" s="1">
        <f t="shared" si="27"/>
        <v>16</v>
      </c>
      <c r="C89" s="1">
        <f t="shared" si="28"/>
        <v>0</v>
      </c>
      <c r="D89" s="1">
        <f t="shared" si="49"/>
        <v>0</v>
      </c>
      <c r="E89" s="1" t="e">
        <f t="shared" si="50"/>
        <v>#DIV/0!</v>
      </c>
      <c r="F89" s="1">
        <f t="shared" si="51"/>
        <v>0</v>
      </c>
      <c r="G89" s="1">
        <f t="shared" si="52"/>
        <v>15.903649724475617</v>
      </c>
      <c r="H89" s="1">
        <f t="shared" si="53"/>
        <v>165.61152077269617</v>
      </c>
      <c r="I89" s="1">
        <f t="shared" si="54"/>
        <v>298.2773340473612</v>
      </c>
      <c r="J89" s="1">
        <f t="shared" si="55"/>
        <v>9.017475843259705</v>
      </c>
      <c r="K89" s="1">
        <f t="shared" si="56"/>
        <v>81.7965760489911</v>
      </c>
      <c r="L89" s="1">
        <f t="shared" si="57"/>
        <v>82.292130388769</v>
      </c>
    </row>
    <row r="90" spans="1:12" ht="12.75">
      <c r="A90" s="1">
        <f t="shared" si="48"/>
        <v>4.399999999999992</v>
      </c>
      <c r="B90" s="1">
        <f t="shared" si="27"/>
        <v>16</v>
      </c>
      <c r="C90" s="1">
        <f t="shared" si="28"/>
        <v>0</v>
      </c>
      <c r="D90" s="1">
        <f t="shared" si="49"/>
        <v>0</v>
      </c>
      <c r="E90" s="1" t="e">
        <f t="shared" si="50"/>
        <v>#DIV/0!</v>
      </c>
      <c r="F90" s="1">
        <f t="shared" si="51"/>
        <v>0</v>
      </c>
      <c r="G90" s="1">
        <f t="shared" si="52"/>
        <v>15.904903155529917</v>
      </c>
      <c r="H90" s="1">
        <f t="shared" si="53"/>
        <v>166.2728023345352</v>
      </c>
      <c r="I90" s="1">
        <f t="shared" si="54"/>
        <v>304.3155087485984</v>
      </c>
      <c r="J90" s="1">
        <f t="shared" si="55"/>
        <v>9.017475843259705</v>
      </c>
      <c r="K90" s="1">
        <f t="shared" si="56"/>
        <v>82.33874592596186</v>
      </c>
      <c r="L90" s="1">
        <f t="shared" si="57"/>
        <v>82.83105668312987</v>
      </c>
    </row>
    <row r="91" spans="1:12" ht="12.75">
      <c r="A91" s="1">
        <f t="shared" si="48"/>
        <v>4.449999999999992</v>
      </c>
      <c r="B91" s="1">
        <f t="shared" si="27"/>
        <v>16</v>
      </c>
      <c r="C91" s="1">
        <f t="shared" si="28"/>
        <v>0</v>
      </c>
      <c r="D91" s="1">
        <f t="shared" si="49"/>
        <v>0</v>
      </c>
      <c r="E91" s="1" t="e">
        <f t="shared" si="50"/>
        <v>#DIV/0!</v>
      </c>
      <c r="F91" s="1">
        <f t="shared" si="51"/>
        <v>0</v>
      </c>
      <c r="G91" s="1">
        <f t="shared" si="52"/>
        <v>15.90613245268162</v>
      </c>
      <c r="H91" s="1">
        <f t="shared" si="53"/>
        <v>166.93408389637426</v>
      </c>
      <c r="I91" s="1">
        <f t="shared" si="54"/>
        <v>310.3934457077244</v>
      </c>
      <c r="J91" s="1">
        <f t="shared" si="55"/>
        <v>9.017475843259705</v>
      </c>
      <c r="K91" s="1">
        <f t="shared" si="56"/>
        <v>82.88095853353674</v>
      </c>
      <c r="L91" s="1">
        <f t="shared" si="57"/>
        <v>83.37006751839421</v>
      </c>
    </row>
    <row r="92" spans="1:12" ht="12.75">
      <c r="A92" s="1">
        <f t="shared" si="48"/>
        <v>4.499999999999992</v>
      </c>
      <c r="B92" s="1">
        <f t="shared" si="27"/>
        <v>16</v>
      </c>
      <c r="C92" s="1">
        <f t="shared" si="28"/>
        <v>0</v>
      </c>
      <c r="D92" s="1">
        <f t="shared" si="49"/>
        <v>0</v>
      </c>
      <c r="E92" s="1" t="e">
        <f t="shared" si="50"/>
        <v>#DIV/0!</v>
      </c>
      <c r="F92" s="1">
        <f t="shared" si="51"/>
        <v>0</v>
      </c>
      <c r="G92" s="1">
        <f t="shared" si="52"/>
        <v>15.90733822731562</v>
      </c>
      <c r="H92" s="1">
        <f t="shared" si="53"/>
        <v>167.5953654582133</v>
      </c>
      <c r="I92" s="1">
        <f t="shared" si="54"/>
        <v>316.51114799798216</v>
      </c>
      <c r="J92" s="1">
        <f t="shared" si="55"/>
        <v>9.017475843259705</v>
      </c>
      <c r="K92" s="1">
        <f t="shared" si="56"/>
        <v>83.42321304896907</v>
      </c>
      <c r="L92" s="1">
        <f t="shared" si="57"/>
        <v>83.9091612757359</v>
      </c>
    </row>
    <row r="93" spans="1:12" ht="12.75">
      <c r="A93" s="1">
        <f t="shared" si="48"/>
        <v>4.549999999999992</v>
      </c>
      <c r="B93" s="1">
        <f t="shared" si="27"/>
        <v>16</v>
      </c>
      <c r="C93" s="1">
        <f t="shared" si="28"/>
        <v>0</v>
      </c>
      <c r="D93" s="1">
        <f t="shared" si="49"/>
        <v>0</v>
      </c>
      <c r="E93" s="1" t="e">
        <f t="shared" si="50"/>
        <v>#DIV/0!</v>
      </c>
      <c r="F93" s="1">
        <f t="shared" si="51"/>
        <v>0</v>
      </c>
      <c r="G93" s="1">
        <f t="shared" si="52"/>
        <v>15.908521071711938</v>
      </c>
      <c r="H93" s="1">
        <f t="shared" si="53"/>
        <v>168.25664702005236</v>
      </c>
      <c r="I93" s="1">
        <f t="shared" si="54"/>
        <v>322.6686186338082</v>
      </c>
      <c r="J93" s="1">
        <f t="shared" si="55"/>
        <v>9.017475843259705</v>
      </c>
      <c r="K93" s="1">
        <f t="shared" si="56"/>
        <v>83.96550867035484</v>
      </c>
      <c r="L93" s="1">
        <f t="shared" si="57"/>
        <v>84.44833637707261</v>
      </c>
    </row>
    <row r="94" spans="1:12" ht="12.75">
      <c r="A94" s="1">
        <f t="shared" si="48"/>
        <v>4.599999999999992</v>
      </c>
      <c r="B94" s="1">
        <f t="shared" si="27"/>
        <v>16</v>
      </c>
      <c r="C94" s="1">
        <f t="shared" si="28"/>
        <v>0</v>
      </c>
      <c r="D94" s="1">
        <f t="shared" si="49"/>
        <v>0</v>
      </c>
      <c r="E94" s="1" t="e">
        <f t="shared" si="50"/>
        <v>#DIV/0!</v>
      </c>
      <c r="F94" s="1">
        <f t="shared" si="51"/>
        <v>0</v>
      </c>
      <c r="G94" s="1">
        <f t="shared" si="52"/>
        <v>15.909681559752624</v>
      </c>
      <c r="H94" s="1">
        <f t="shared" si="53"/>
        <v>168.9179285818914</v>
      </c>
      <c r="I94" s="1">
        <f t="shared" si="54"/>
        <v>328.8658605723135</v>
      </c>
      <c r="J94" s="1">
        <f t="shared" si="55"/>
        <v>9.017475843259705</v>
      </c>
      <c r="K94" s="1">
        <f t="shared" si="56"/>
        <v>84.50784461598138</v>
      </c>
      <c r="L94" s="1">
        <f t="shared" si="57"/>
        <v>84.98759128380229</v>
      </c>
    </row>
    <row r="95" spans="1:12" ht="12.75">
      <c r="A95" s="1">
        <f t="shared" si="48"/>
        <v>4.6499999999999915</v>
      </c>
      <c r="B95" s="1">
        <f t="shared" si="27"/>
        <v>16</v>
      </c>
      <c r="C95" s="1">
        <f t="shared" si="28"/>
        <v>0</v>
      </c>
      <c r="D95" s="1">
        <f t="shared" si="49"/>
        <v>0</v>
      </c>
      <c r="E95" s="1" t="e">
        <f t="shared" si="50"/>
        <v>#DIV/0!</v>
      </c>
      <c r="F95" s="1">
        <f t="shared" si="51"/>
        <v>0</v>
      </c>
      <c r="G95" s="1">
        <f t="shared" si="52"/>
        <v>15.910820247598604</v>
      </c>
      <c r="H95" s="1">
        <f t="shared" si="53"/>
        <v>169.57921014373045</v>
      </c>
      <c r="I95" s="1">
        <f t="shared" si="54"/>
        <v>335.1028767147182</v>
      </c>
      <c r="J95" s="1">
        <f t="shared" si="55"/>
        <v>9.017475843259705</v>
      </c>
      <c r="K95" s="1">
        <f t="shared" si="56"/>
        <v>85.05022012370023</v>
      </c>
      <c r="L95" s="1">
        <f t="shared" si="57"/>
        <v>85.5269244955858</v>
      </c>
    </row>
    <row r="96" spans="1:12" ht="12.75">
      <c r="A96" s="1">
        <f t="shared" si="48"/>
        <v>4.699999999999991</v>
      </c>
      <c r="B96" s="1">
        <f t="shared" si="27"/>
        <v>16</v>
      </c>
      <c r="C96" s="1">
        <f t="shared" si="28"/>
        <v>0</v>
      </c>
      <c r="D96" s="1">
        <f t="shared" si="49"/>
        <v>0</v>
      </c>
      <c r="E96" s="1" t="e">
        <f t="shared" si="50"/>
        <v>#DIV/0!</v>
      </c>
      <c r="F96" s="1">
        <f t="shared" si="51"/>
        <v>0</v>
      </c>
      <c r="G96" s="1">
        <f t="shared" si="52"/>
        <v>15.911937674337809</v>
      </c>
      <c r="H96" s="1">
        <f t="shared" si="53"/>
        <v>170.2404917055695</v>
      </c>
      <c r="I96" s="1">
        <f t="shared" si="54"/>
        <v>341.3796699077419</v>
      </c>
      <c r="J96" s="1">
        <f t="shared" si="55"/>
        <v>9.017475843259705</v>
      </c>
      <c r="K96" s="1">
        <f t="shared" si="56"/>
        <v>85.5926344503229</v>
      </c>
      <c r="L96" s="1">
        <f t="shared" si="57"/>
        <v>86.06633454917419</v>
      </c>
    </row>
    <row r="97" spans="1:12" ht="12.75">
      <c r="A97" s="1">
        <f t="shared" si="48"/>
        <v>4.749999999999991</v>
      </c>
      <c r="B97" s="1">
        <f t="shared" si="27"/>
        <v>16</v>
      </c>
      <c r="C97" s="1">
        <f t="shared" si="28"/>
        <v>0</v>
      </c>
      <c r="D97" s="1">
        <f t="shared" si="49"/>
        <v>0</v>
      </c>
      <c r="E97" s="1" t="e">
        <f t="shared" si="50"/>
        <v>#DIV/0!</v>
      </c>
      <c r="F97" s="1">
        <f t="shared" si="51"/>
        <v>0</v>
      </c>
      <c r="G97" s="1">
        <f t="shared" si="52"/>
        <v>15.913034362606039</v>
      </c>
      <c r="H97" s="1">
        <f t="shared" si="53"/>
        <v>170.90177326740854</v>
      </c>
      <c r="I97" s="1">
        <f t="shared" si="54"/>
        <v>347.69624294495145</v>
      </c>
      <c r="J97" s="1">
        <f t="shared" si="55"/>
        <v>9.017475843259705</v>
      </c>
      <c r="K97" s="1">
        <f t="shared" si="56"/>
        <v>86.13508687103896</v>
      </c>
      <c r="L97" s="1">
        <f t="shared" si="57"/>
        <v>86.60582001727829</v>
      </c>
    </row>
    <row r="98" spans="1:12" ht="12.75">
      <c r="A98" s="1">
        <f t="shared" si="48"/>
        <v>4.799999999999991</v>
      </c>
      <c r="B98" s="1">
        <f t="shared" si="27"/>
        <v>16</v>
      </c>
      <c r="C98" s="1">
        <f t="shared" si="28"/>
        <v>0</v>
      </c>
      <c r="D98" s="1">
        <f t="shared" si="49"/>
        <v>0</v>
      </c>
      <c r="E98" s="1" t="e">
        <f t="shared" si="50"/>
        <v>#DIV/0!</v>
      </c>
      <c r="F98" s="1">
        <f t="shared" si="51"/>
        <v>0</v>
      </c>
      <c r="G98" s="1">
        <f t="shared" si="52"/>
        <v>15.91411081918183</v>
      </c>
      <c r="H98" s="1">
        <f t="shared" si="53"/>
        <v>171.5630548292476</v>
      </c>
      <c r="I98" s="1">
        <f t="shared" si="54"/>
        <v>354.0525985680675</v>
      </c>
      <c r="J98" s="1">
        <f t="shared" si="55"/>
        <v>9.017475843259705</v>
      </c>
      <c r="K98" s="1">
        <f t="shared" si="56"/>
        <v>86.67757667885508</v>
      </c>
      <c r="L98" s="1">
        <f t="shared" si="57"/>
        <v>87.14537950747919</v>
      </c>
    </row>
    <row r="99" spans="1:12" ht="12.75">
      <c r="A99" s="1">
        <f t="shared" si="48"/>
        <v>4.849999999999991</v>
      </c>
      <c r="B99" s="1">
        <f t="shared" si="27"/>
        <v>16</v>
      </c>
      <c r="C99" s="1">
        <f t="shared" si="28"/>
        <v>0</v>
      </c>
      <c r="D99" s="1">
        <f t="shared" si="49"/>
        <v>0</v>
      </c>
      <c r="E99" s="1" t="e">
        <f t="shared" si="50"/>
        <v>#DIV/0!</v>
      </c>
      <c r="F99" s="1">
        <f t="shared" si="51"/>
        <v>0</v>
      </c>
      <c r="G99" s="1">
        <f t="shared" si="52"/>
        <v>15.915167535556522</v>
      </c>
      <c r="H99" s="1">
        <f t="shared" si="53"/>
        <v>172.22433639108664</v>
      </c>
      <c r="I99" s="1">
        <f t="shared" si="54"/>
        <v>360.44873946823145</v>
      </c>
      <c r="J99" s="1">
        <f t="shared" si="55"/>
        <v>9.017475843259705</v>
      </c>
      <c r="K99" s="1">
        <f t="shared" si="56"/>
        <v>87.22010318405445</v>
      </c>
      <c r="L99" s="1">
        <f t="shared" si="57"/>
        <v>87.68501166117775</v>
      </c>
    </row>
    <row r="100" spans="1:12" ht="12.75">
      <c r="A100" s="1">
        <f t="shared" si="48"/>
        <v>4.899999999999991</v>
      </c>
      <c r="B100" s="1">
        <f t="shared" si="27"/>
        <v>16</v>
      </c>
      <c r="C100" s="1">
        <f t="shared" si="28"/>
        <v>0</v>
      </c>
      <c r="D100" s="1">
        <f t="shared" si="49"/>
        <v>0</v>
      </c>
      <c r="E100" s="1" t="e">
        <f t="shared" si="50"/>
        <v>#DIV/0!</v>
      </c>
      <c r="F100" s="1">
        <f t="shared" si="51"/>
        <v>0</v>
      </c>
      <c r="G100" s="1">
        <f t="shared" si="52"/>
        <v>15.916204988480736</v>
      </c>
      <c r="H100" s="1">
        <f t="shared" si="53"/>
        <v>172.88561795292568</v>
      </c>
      <c r="I100" s="1">
        <f t="shared" si="54"/>
        <v>366.8846682872343</v>
      </c>
      <c r="J100" s="1">
        <f t="shared" si="55"/>
        <v>9.017475843259705</v>
      </c>
      <c r="K100" s="1">
        <f t="shared" si="56"/>
        <v>87.7626657136757</v>
      </c>
      <c r="L100" s="1">
        <f t="shared" si="57"/>
        <v>88.2247151525816</v>
      </c>
    </row>
    <row r="101" spans="1:12" ht="12.75">
      <c r="A101" s="1">
        <f t="shared" si="48"/>
        <v>4.94999999999999</v>
      </c>
      <c r="B101" s="1">
        <f t="shared" si="27"/>
        <v>16</v>
      </c>
      <c r="C101" s="1">
        <f t="shared" si="28"/>
        <v>0</v>
      </c>
      <c r="D101" s="1">
        <f t="shared" si="49"/>
        <v>0</v>
      </c>
      <c r="E101" s="1" t="e">
        <f t="shared" si="50"/>
        <v>#DIV/0!</v>
      </c>
      <c r="F101" s="1">
        <f t="shared" si="51"/>
        <v>0</v>
      </c>
      <c r="G101" s="1">
        <f t="shared" si="52"/>
        <v>15.91722364048835</v>
      </c>
      <c r="H101" s="1">
        <f t="shared" si="53"/>
        <v>173.54689951476473</v>
      </c>
      <c r="I101" s="1">
        <f t="shared" si="54"/>
        <v>373.3603876187084</v>
      </c>
      <c r="J101" s="1">
        <f t="shared" si="55"/>
        <v>9.017475843259705</v>
      </c>
      <c r="K101" s="1">
        <f t="shared" si="56"/>
        <v>88.30526361101028</v>
      </c>
      <c r="L101" s="1">
        <f t="shared" si="57"/>
        <v>88.76448868772798</v>
      </c>
    </row>
    <row r="102" spans="1:12" ht="12.75">
      <c r="A102" s="1">
        <f t="shared" si="48"/>
        <v>4.99999999999999</v>
      </c>
      <c r="B102" s="1">
        <f t="shared" si="27"/>
        <v>16</v>
      </c>
      <c r="C102" s="1">
        <f t="shared" si="28"/>
        <v>0</v>
      </c>
      <c r="D102" s="1">
        <f t="shared" si="49"/>
        <v>0</v>
      </c>
      <c r="E102" s="1" t="e">
        <f t="shared" si="50"/>
        <v>#DIV/0!</v>
      </c>
      <c r="F102" s="1">
        <f t="shared" si="51"/>
        <v>0</v>
      </c>
      <c r="G102" s="1">
        <f t="shared" si="52"/>
        <v>15.918223940399004</v>
      </c>
      <c r="H102" s="1">
        <f t="shared" si="53"/>
        <v>174.20818107660378</v>
      </c>
      <c r="I102" s="1">
        <f t="shared" si="54"/>
        <v>379.87590000928367</v>
      </c>
      <c r="J102" s="1">
        <f t="shared" si="55"/>
        <v>9.017475843259705</v>
      </c>
      <c r="K102" s="1">
        <f t="shared" si="56"/>
        <v>88.84789623511783</v>
      </c>
      <c r="L102" s="1">
        <f t="shared" si="57"/>
        <v>89.30433100354112</v>
      </c>
    </row>
    <row r="103" spans="1:12" ht="12.75">
      <c r="A103" s="1">
        <f t="shared" si="48"/>
        <v>5.04999999999999</v>
      </c>
      <c r="B103" s="1">
        <f t="shared" si="27"/>
        <v>16</v>
      </c>
      <c r="C103" s="1">
        <f t="shared" si="28"/>
        <v>0</v>
      </c>
      <c r="D103" s="1">
        <f t="shared" si="49"/>
        <v>0</v>
      </c>
      <c r="E103" s="1" t="e">
        <f t="shared" si="50"/>
        <v>#DIV/0!</v>
      </c>
      <c r="F103" s="1">
        <f t="shared" si="51"/>
        <v>0</v>
      </c>
      <c r="G103" s="1">
        <f t="shared" si="52"/>
        <v>15.919206323800143</v>
      </c>
      <c r="H103" s="1">
        <f t="shared" si="53"/>
        <v>174.86946263844283</v>
      </c>
      <c r="I103" s="1">
        <f t="shared" si="54"/>
        <v>386.43120795971</v>
      </c>
      <c r="J103" s="1">
        <f t="shared" si="55"/>
        <v>9.017475843259705</v>
      </c>
      <c r="K103" s="1">
        <f t="shared" si="56"/>
        <v>89.39056296035871</v>
      </c>
      <c r="L103" s="1">
        <f t="shared" si="57"/>
        <v>89.84424086692272</v>
      </c>
    </row>
    <row r="104" spans="1:12" ht="12.75">
      <c r="A104" s="1">
        <f t="shared" si="48"/>
        <v>5.09999999999999</v>
      </c>
      <c r="B104" s="1">
        <f t="shared" si="27"/>
        <v>16</v>
      </c>
      <c r="C104" s="1">
        <f t="shared" si="28"/>
        <v>0</v>
      </c>
      <c r="D104" s="1">
        <f t="shared" si="49"/>
        <v>0</v>
      </c>
      <c r="E104" s="1" t="e">
        <f t="shared" si="50"/>
        <v>#DIV/0!</v>
      </c>
      <c r="F104" s="1">
        <f t="shared" si="51"/>
        <v>0</v>
      </c>
      <c r="G104" s="1">
        <f t="shared" si="52"/>
        <v>15.920171213509539</v>
      </c>
      <c r="H104" s="1">
        <f t="shared" si="53"/>
        <v>175.53074420028187</v>
      </c>
      <c r="I104" s="1">
        <f t="shared" si="54"/>
        <v>393.0263139259458</v>
      </c>
      <c r="J104" s="1">
        <f t="shared" si="55"/>
        <v>9.017475843259705</v>
      </c>
      <c r="K104" s="1">
        <f t="shared" si="56"/>
        <v>89.9332631759428</v>
      </c>
      <c r="L104" s="1">
        <f t="shared" si="57"/>
        <v>90.38421707387391</v>
      </c>
    </row>
    <row r="105" spans="1:12" ht="12.75">
      <c r="A105" s="1">
        <f t="shared" si="48"/>
        <v>5.14999999999999</v>
      </c>
      <c r="B105" s="1">
        <f t="shared" si="27"/>
        <v>16</v>
      </c>
      <c r="C105" s="1">
        <f t="shared" si="28"/>
        <v>0</v>
      </c>
      <c r="D105" s="1">
        <f t="shared" si="49"/>
        <v>0</v>
      </c>
      <c r="E105" s="1" t="e">
        <f t="shared" si="50"/>
        <v>#DIV/0!</v>
      </c>
      <c r="F105" s="1">
        <f t="shared" si="51"/>
        <v>0</v>
      </c>
      <c r="G105" s="1">
        <f t="shared" si="52"/>
        <v>15.921119020019162</v>
      </c>
      <c r="H105" s="1">
        <f t="shared" si="53"/>
        <v>176.19202576212092</v>
      </c>
      <c r="I105" s="1">
        <f t="shared" si="54"/>
        <v>399.66122032021536</v>
      </c>
      <c r="J105" s="1">
        <f t="shared" si="55"/>
        <v>9.017475843259705</v>
      </c>
      <c r="K105" s="1">
        <f t="shared" si="56"/>
        <v>90.47599628549426</v>
      </c>
      <c r="L105" s="1">
        <f t="shared" si="57"/>
        <v>90.92425844864803</v>
      </c>
    </row>
    <row r="106" spans="1:12" ht="12.75">
      <c r="A106" s="1">
        <f t="shared" si="48"/>
        <v>5.1999999999999895</v>
      </c>
      <c r="B106" s="1">
        <f t="shared" si="27"/>
        <v>16</v>
      </c>
      <c r="C106" s="1">
        <f t="shared" si="28"/>
        <v>0</v>
      </c>
      <c r="D106" s="1">
        <f t="shared" si="49"/>
        <v>0</v>
      </c>
      <c r="E106" s="1" t="e">
        <f t="shared" si="50"/>
        <v>#DIV/0!</v>
      </c>
      <c r="F106" s="1">
        <f t="shared" si="51"/>
        <v>0</v>
      </c>
      <c r="G106" s="1">
        <f t="shared" si="52"/>
        <v>15.922050141921288</v>
      </c>
      <c r="H106" s="1">
        <f t="shared" si="53"/>
        <v>176.85330732395997</v>
      </c>
      <c r="I106" s="1">
        <f t="shared" si="54"/>
        <v>406.33592951203497</v>
      </c>
      <c r="J106" s="1">
        <f t="shared" si="55"/>
        <v>9.017475843259705</v>
      </c>
      <c r="K106" s="1">
        <f t="shared" si="56"/>
        <v>91.01876170663128</v>
      </c>
      <c r="L106" s="1">
        <f t="shared" si="57"/>
        <v>91.4643638429323</v>
      </c>
    </row>
    <row r="107" spans="1:12" ht="12.75">
      <c r="A107" s="1">
        <f t="shared" si="48"/>
        <v>5.249999999999989</v>
      </c>
      <c r="B107" s="1">
        <f t="shared" si="27"/>
        <v>16</v>
      </c>
      <c r="C107" s="1">
        <f t="shared" si="28"/>
        <v>0</v>
      </c>
      <c r="D107" s="1">
        <f t="shared" si="49"/>
        <v>0</v>
      </c>
      <c r="E107" s="1" t="e">
        <f t="shared" si="50"/>
        <v>#DIV/0!</v>
      </c>
      <c r="F107" s="1">
        <f t="shared" si="51"/>
        <v>0</v>
      </c>
      <c r="G107" s="1">
        <f t="shared" si="52"/>
        <v>15.922964966317604</v>
      </c>
      <c r="H107" s="1">
        <f t="shared" si="53"/>
        <v>177.51458888579901</v>
      </c>
      <c r="I107" s="1">
        <f t="shared" si="54"/>
        <v>413.05044382920937</v>
      </c>
      <c r="J107" s="1">
        <f t="shared" si="55"/>
        <v>9.017475843259705</v>
      </c>
      <c r="K107" s="1">
        <f t="shared" si="56"/>
        <v>91.56155887056042</v>
      </c>
      <c r="L107" s="1">
        <f t="shared" si="57"/>
        <v>92.00453213505774</v>
      </c>
    </row>
    <row r="108" spans="1:12" ht="12.75">
      <c r="A108" s="1">
        <f t="shared" si="48"/>
        <v>5.299999999999989</v>
      </c>
      <c r="B108" s="1">
        <f t="shared" si="27"/>
        <v>16</v>
      </c>
      <c r="C108" s="1">
        <f t="shared" si="28"/>
        <v>0</v>
      </c>
      <c r="D108" s="1">
        <f t="shared" si="49"/>
        <v>0</v>
      </c>
      <c r="E108" s="1" t="e">
        <f t="shared" si="50"/>
        <v>#DIV/0!</v>
      </c>
      <c r="F108" s="1">
        <f t="shared" si="51"/>
        <v>0</v>
      </c>
      <c r="G108" s="1">
        <f t="shared" si="52"/>
        <v>15.92386386921211</v>
      </c>
      <c r="H108" s="1">
        <f t="shared" si="53"/>
        <v>178.17587044763806</v>
      </c>
      <c r="I108" s="1">
        <f t="shared" si="54"/>
        <v>419.8047655587996</v>
      </c>
      <c r="J108" s="1">
        <f t="shared" si="55"/>
        <v>9.017475843259705</v>
      </c>
      <c r="K108" s="1">
        <f t="shared" si="56"/>
        <v>92.10438722168489</v>
      </c>
      <c r="L108" s="1">
        <f t="shared" si="57"/>
        <v>92.5447622292361</v>
      </c>
    </row>
    <row r="109" spans="1:12" ht="12.75">
      <c r="A109" s="1">
        <f t="shared" si="48"/>
        <v>5.349999999999989</v>
      </c>
      <c r="B109" s="1">
        <f t="shared" si="27"/>
        <v>16</v>
      </c>
      <c r="C109" s="1">
        <f t="shared" si="28"/>
        <v>0</v>
      </c>
      <c r="D109" s="1">
        <f t="shared" si="49"/>
        <v>0</v>
      </c>
      <c r="E109" s="1" t="e">
        <f t="shared" si="50"/>
        <v>#DIV/0!</v>
      </c>
      <c r="F109" s="1">
        <f t="shared" si="51"/>
        <v>0</v>
      </c>
      <c r="G109" s="1">
        <f t="shared" si="52"/>
        <v>15.924747215888527</v>
      </c>
      <c r="H109" s="1">
        <f t="shared" si="53"/>
        <v>178.8371520094771</v>
      </c>
      <c r="I109" s="1">
        <f t="shared" si="54"/>
        <v>426.5988969480629</v>
      </c>
      <c r="J109" s="1">
        <f t="shared" si="55"/>
        <v>9.017475843259705</v>
      </c>
      <c r="K109" s="1">
        <f t="shared" si="56"/>
        <v>92.64724621722621</v>
      </c>
      <c r="L109" s="1">
        <f t="shared" si="57"/>
        <v>93.08505305482244</v>
      </c>
    </row>
    <row r="110" spans="1:12" ht="12.75">
      <c r="A110" s="1">
        <f t="shared" si="48"/>
        <v>5.399999999999989</v>
      </c>
      <c r="B110" s="1">
        <f t="shared" si="27"/>
        <v>16</v>
      </c>
      <c r="C110" s="1">
        <f t="shared" si="28"/>
        <v>0</v>
      </c>
      <c r="D110" s="1">
        <f t="shared" si="49"/>
        <v>0</v>
      </c>
      <c r="E110" s="1" t="e">
        <f t="shared" si="50"/>
        <v>#DIV/0!</v>
      </c>
      <c r="F110" s="1">
        <f t="shared" si="51"/>
        <v>0</v>
      </c>
      <c r="G110" s="1">
        <f t="shared" si="52"/>
        <v>15.925615361272888</v>
      </c>
      <c r="H110" s="1">
        <f t="shared" si="53"/>
        <v>179.49843357131616</v>
      </c>
      <c r="I110" s="1">
        <f t="shared" si="54"/>
        <v>433.43284020536584</v>
      </c>
      <c r="J110" s="1">
        <f t="shared" si="55"/>
        <v>9.017475843259705</v>
      </c>
      <c r="K110" s="1">
        <f t="shared" si="56"/>
        <v>93.19013532685878</v>
      </c>
      <c r="L110" s="1">
        <f t="shared" si="57"/>
        <v>93.625403565603</v>
      </c>
    </row>
    <row r="111" spans="1:12" ht="12.75">
      <c r="A111" s="1">
        <f t="shared" si="48"/>
        <v>5.449999999999989</v>
      </c>
      <c r="B111" s="1">
        <f t="shared" si="27"/>
        <v>16</v>
      </c>
      <c r="C111" s="1">
        <f t="shared" si="28"/>
        <v>0</v>
      </c>
      <c r="D111" s="1">
        <f t="shared" si="49"/>
        <v>0</v>
      </c>
      <c r="E111" s="1" t="e">
        <f t="shared" si="50"/>
        <v>#DIV/0!</v>
      </c>
      <c r="F111" s="1">
        <f t="shared" si="51"/>
        <v>0</v>
      </c>
      <c r="G111" s="1">
        <f t="shared" si="52"/>
        <v>15.926468650282022</v>
      </c>
      <c r="H111" s="1">
        <f t="shared" si="53"/>
        <v>180.1597151331552</v>
      </c>
      <c r="I111" s="1">
        <f t="shared" si="54"/>
        <v>440.306597501072</v>
      </c>
      <c r="J111" s="1">
        <f t="shared" si="55"/>
        <v>9.017475843259705</v>
      </c>
      <c r="K111" s="1">
        <f t="shared" si="56"/>
        <v>93.73305403235672</v>
      </c>
      <c r="L111" s="1">
        <f t="shared" si="57"/>
        <v>94.16581273910653</v>
      </c>
    </row>
    <row r="112" spans="1:12" ht="12.75">
      <c r="A112" s="1">
        <f t="shared" si="48"/>
        <v>5.4999999999999885</v>
      </c>
      <c r="B112" s="1">
        <f t="shared" si="27"/>
        <v>16</v>
      </c>
      <c r="C112" s="1">
        <f t="shared" si="28"/>
        <v>0</v>
      </c>
      <c r="D112" s="1">
        <f t="shared" si="49"/>
        <v>0</v>
      </c>
      <c r="E112" s="1" t="e">
        <f t="shared" si="50"/>
        <v>#DIV/0!</v>
      </c>
      <c r="F112" s="1">
        <f t="shared" si="51"/>
        <v>0</v>
      </c>
      <c r="G112" s="1">
        <f t="shared" si="52"/>
        <v>15.927307418158463</v>
      </c>
      <c r="H112" s="1">
        <f t="shared" si="53"/>
        <v>180.82099669499425</v>
      </c>
      <c r="I112" s="1">
        <f t="shared" si="54"/>
        <v>447.22017096840386</v>
      </c>
      <c r="J112" s="1">
        <f t="shared" si="55"/>
        <v>9.017475843259705</v>
      </c>
      <c r="K112" s="1">
        <f t="shared" si="56"/>
        <v>94.2760018272527</v>
      </c>
      <c r="L112" s="1">
        <f t="shared" si="57"/>
        <v>94.70627957593904</v>
      </c>
    </row>
    <row r="113" spans="1:12" ht="12.75">
      <c r="A113" s="1">
        <f t="shared" si="48"/>
        <v>5.549999999999988</v>
      </c>
      <c r="B113" s="1">
        <f t="shared" si="27"/>
        <v>16</v>
      </c>
      <c r="C113" s="1">
        <f t="shared" si="28"/>
        <v>0</v>
      </c>
      <c r="D113" s="1">
        <f t="shared" si="49"/>
        <v>0</v>
      </c>
      <c r="E113" s="1" t="e">
        <f t="shared" si="50"/>
        <v>#DIV/0!</v>
      </c>
      <c r="F113" s="1">
        <f t="shared" si="51"/>
        <v>0</v>
      </c>
      <c r="G113" s="1">
        <f t="shared" si="52"/>
        <v>15.928131990792481</v>
      </c>
      <c r="H113" s="1">
        <f t="shared" si="53"/>
        <v>181.4822782568333</v>
      </c>
      <c r="I113" s="1">
        <f t="shared" si="54"/>
        <v>454.1735627042811</v>
      </c>
      <c r="J113" s="1">
        <f t="shared" si="55"/>
        <v>9.017475843259705</v>
      </c>
      <c r="K113" s="1">
        <f t="shared" si="56"/>
        <v>94.8189782165081</v>
      </c>
      <c r="L113" s="1">
        <f t="shared" si="57"/>
        <v>95.24680309914034</v>
      </c>
    </row>
    <row r="114" spans="1:12" ht="12.75">
      <c r="A114" s="1">
        <f t="shared" si="48"/>
        <v>5.599999999999988</v>
      </c>
      <c r="B114" s="1">
        <f t="shared" si="27"/>
        <v>16</v>
      </c>
      <c r="C114" s="1">
        <f t="shared" si="28"/>
        <v>0</v>
      </c>
      <c r="D114" s="1">
        <f t="shared" si="49"/>
        <v>0</v>
      </c>
      <c r="E114" s="1" t="e">
        <f t="shared" si="50"/>
        <v>#DIV/0!</v>
      </c>
      <c r="F114" s="1">
        <f t="shared" si="51"/>
        <v>0</v>
      </c>
      <c r="G114" s="1">
        <f t="shared" si="52"/>
        <v>15.928942685031704</v>
      </c>
      <c r="H114" s="1">
        <f t="shared" si="53"/>
        <v>182.14355981867234</v>
      </c>
      <c r="I114" s="1">
        <f t="shared" si="54"/>
        <v>461.16677477013536</v>
      </c>
      <c r="J114" s="1">
        <f t="shared" si="55"/>
        <v>9.017475843259705</v>
      </c>
      <c r="K114" s="1">
        <f t="shared" si="56"/>
        <v>95.3619827161942</v>
      </c>
      <c r="L114" s="1">
        <f t="shared" si="57"/>
        <v>95.78738235356207</v>
      </c>
    </row>
    <row r="115" spans="1:12" ht="12.75">
      <c r="A115" s="1">
        <f t="shared" si="48"/>
        <v>5.649999999999988</v>
      </c>
      <c r="B115" s="1">
        <f t="shared" si="27"/>
        <v>16</v>
      </c>
      <c r="C115" s="1">
        <f t="shared" si="28"/>
        <v>0</v>
      </c>
      <c r="D115" s="1">
        <f t="shared" si="49"/>
        <v>0</v>
      </c>
      <c r="E115" s="1" t="e">
        <f t="shared" si="50"/>
        <v>#DIV/0!</v>
      </c>
      <c r="F115" s="1">
        <f t="shared" si="51"/>
        <v>0</v>
      </c>
      <c r="G115" s="1">
        <f t="shared" si="52"/>
        <v>15.929739808978942</v>
      </c>
      <c r="H115" s="1">
        <f t="shared" si="53"/>
        <v>182.8048413805114</v>
      </c>
      <c r="I115" s="1">
        <f t="shared" si="54"/>
        <v>468.19980919270216</v>
      </c>
      <c r="J115" s="1">
        <f t="shared" si="55"/>
        <v>9.017475843259705</v>
      </c>
      <c r="K115" s="1">
        <f t="shared" si="56"/>
        <v>95.90501485318393</v>
      </c>
      <c r="L115" s="1">
        <f t="shared" si="57"/>
        <v>96.32801640526603</v>
      </c>
    </row>
    <row r="116" spans="1:12" ht="12.75">
      <c r="A116" s="1">
        <f t="shared" si="48"/>
        <v>5.699999999999988</v>
      </c>
      <c r="B116" s="1">
        <f t="shared" si="27"/>
        <v>16</v>
      </c>
      <c r="C116" s="1">
        <f t="shared" si="28"/>
        <v>0</v>
      </c>
      <c r="D116" s="1">
        <f t="shared" si="49"/>
        <v>0</v>
      </c>
      <c r="E116" s="1" t="e">
        <f t="shared" si="50"/>
        <v>#DIV/0!</v>
      </c>
      <c r="F116" s="1">
        <f t="shared" si="51"/>
        <v>0</v>
      </c>
      <c r="G116" s="1">
        <f t="shared" si="52"/>
        <v>15.930523662278684</v>
      </c>
      <c r="H116" s="1">
        <f t="shared" si="53"/>
        <v>183.46612294235044</v>
      </c>
      <c r="I116" s="1">
        <f t="shared" si="54"/>
        <v>475.2726679647914</v>
      </c>
      <c r="J116" s="1">
        <f t="shared" si="55"/>
        <v>9.017475843259705</v>
      </c>
      <c r="K116" s="1">
        <f t="shared" si="56"/>
        <v>96.44807416485367</v>
      </c>
      <c r="L116" s="1">
        <f t="shared" si="57"/>
        <v>96.86870434094226</v>
      </c>
    </row>
    <row r="117" spans="1:12" ht="12.75">
      <c r="A117" s="1">
        <f t="shared" si="48"/>
        <v>5.749999999999988</v>
      </c>
      <c r="B117" s="1">
        <f t="shared" si="27"/>
        <v>16</v>
      </c>
      <c r="C117" s="1">
        <f t="shared" si="28"/>
        <v>0</v>
      </c>
      <c r="D117" s="1">
        <f t="shared" si="49"/>
        <v>0</v>
      </c>
      <c r="E117" s="1" t="e">
        <f t="shared" si="50"/>
        <v>#DIV/0!</v>
      </c>
      <c r="F117" s="1">
        <f t="shared" si="51"/>
        <v>0</v>
      </c>
      <c r="G117" s="1">
        <f t="shared" si="52"/>
        <v>15.931294536392762</v>
      </c>
      <c r="H117" s="1">
        <f t="shared" si="53"/>
        <v>184.12740450418949</v>
      </c>
      <c r="I117" s="1">
        <f t="shared" si="54"/>
        <v>482.3853530460364</v>
      </c>
      <c r="J117" s="1">
        <f t="shared" si="55"/>
        <v>9.017475843259705</v>
      </c>
      <c r="K117" s="1">
        <f t="shared" si="56"/>
        <v>96.99116019879499</v>
      </c>
      <c r="L117" s="1">
        <f t="shared" si="57"/>
        <v>97.40944526734604</v>
      </c>
    </row>
    <row r="118" spans="1:12" ht="12.75">
      <c r="A118" s="1">
        <f t="shared" si="48"/>
        <v>5.799999999999987</v>
      </c>
      <c r="B118" s="1">
        <f t="shared" si="27"/>
        <v>16</v>
      </c>
      <c r="C118" s="1">
        <f t="shared" si="28"/>
        <v>0</v>
      </c>
      <c r="D118" s="1">
        <f t="shared" si="49"/>
        <v>0</v>
      </c>
      <c r="E118" s="1" t="e">
        <f t="shared" si="50"/>
        <v>#DIV/0!</v>
      </c>
      <c r="F118" s="1">
        <f t="shared" si="51"/>
        <v>0</v>
      </c>
      <c r="G118" s="1">
        <f t="shared" si="52"/>
        <v>15.932052714865629</v>
      </c>
      <c r="H118" s="1">
        <f t="shared" si="53"/>
        <v>184.78868606602853</v>
      </c>
      <c r="I118" s="1">
        <f t="shared" si="54"/>
        <v>489.53786636362236</v>
      </c>
      <c r="J118" s="1">
        <f t="shared" si="55"/>
        <v>9.017475843259705</v>
      </c>
      <c r="K118" s="1">
        <f t="shared" si="56"/>
        <v>97.53427251253565</v>
      </c>
      <c r="L118" s="1">
        <f t="shared" si="57"/>
        <v>97.95023831075318</v>
      </c>
    </row>
    <row r="119" spans="1:12" ht="12.75">
      <c r="A119" s="1">
        <f t="shared" si="48"/>
        <v>5.849999999999987</v>
      </c>
      <c r="B119" s="1">
        <f t="shared" si="27"/>
        <v>16</v>
      </c>
      <c r="C119" s="1">
        <f t="shared" si="28"/>
        <v>0</v>
      </c>
      <c r="D119" s="1">
        <f t="shared" si="49"/>
        <v>0</v>
      </c>
      <c r="E119" s="1" t="e">
        <f t="shared" si="50"/>
        <v>#DIV/0!</v>
      </c>
      <c r="F119" s="1">
        <f t="shared" si="51"/>
        <v>0</v>
      </c>
      <c r="G119" s="1">
        <f t="shared" si="52"/>
        <v>15.932798473579744</v>
      </c>
      <c r="H119" s="1">
        <f t="shared" si="53"/>
        <v>185.44996762786758</v>
      </c>
      <c r="I119" s="1">
        <f t="shared" si="54"/>
        <v>496.7302098129955</v>
      </c>
      <c r="J119" s="1">
        <f t="shared" si="55"/>
        <v>9.017475843259705</v>
      </c>
      <c r="K119" s="1">
        <f t="shared" si="56"/>
        <v>98.07741067326971</v>
      </c>
      <c r="L119" s="1">
        <f t="shared" si="57"/>
        <v>98.49108261643269</v>
      </c>
    </row>
    <row r="120" spans="1:12" ht="12.75">
      <c r="A120" s="1">
        <f t="shared" si="48"/>
        <v>5.899999999999987</v>
      </c>
      <c r="B120" s="1">
        <f t="shared" si="27"/>
        <v>16</v>
      </c>
      <c r="C120" s="1">
        <f t="shared" si="28"/>
        <v>0</v>
      </c>
      <c r="D120" s="1">
        <f t="shared" si="49"/>
        <v>0</v>
      </c>
      <c r="E120" s="1" t="e">
        <f t="shared" si="50"/>
        <v>#DIV/0!</v>
      </c>
      <c r="F120" s="1">
        <f t="shared" si="51"/>
        <v>0</v>
      </c>
      <c r="G120" s="1">
        <f t="shared" si="52"/>
        <v>15.933532081001426</v>
      </c>
      <c r="H120" s="1">
        <f t="shared" si="53"/>
        <v>186.11124918970663</v>
      </c>
      <c r="I120" s="1">
        <f t="shared" si="54"/>
        <v>503.96238525855256</v>
      </c>
      <c r="J120" s="1">
        <f t="shared" si="55"/>
        <v>9.017475843259705</v>
      </c>
      <c r="K120" s="1">
        <f t="shared" si="56"/>
        <v>98.62057425759629</v>
      </c>
      <c r="L120" s="1">
        <f t="shared" si="57"/>
        <v>99.03197734813658</v>
      </c>
    </row>
    <row r="121" spans="1:12" ht="12.75">
      <c r="A121" s="1">
        <f t="shared" si="48"/>
        <v>5.949999999999987</v>
      </c>
      <c r="B121" s="1">
        <f t="shared" si="27"/>
        <v>16</v>
      </c>
      <c r="C121" s="1">
        <f t="shared" si="28"/>
        <v>0</v>
      </c>
      <c r="D121" s="1">
        <f t="shared" si="49"/>
        <v>0</v>
      </c>
      <c r="E121" s="1" t="e">
        <f t="shared" si="50"/>
        <v>#DIV/0!</v>
      </c>
      <c r="F121" s="1">
        <f t="shared" si="51"/>
        <v>0</v>
      </c>
      <c r="G121" s="1">
        <f t="shared" si="52"/>
        <v>15.934253798417597</v>
      </c>
      <c r="H121" s="1">
        <f t="shared" si="53"/>
        <v>186.77253075154567</v>
      </c>
      <c r="I121" s="1">
        <f t="shared" si="54"/>
        <v>511.2343945343121</v>
      </c>
      <c r="J121" s="1">
        <f t="shared" si="55"/>
        <v>9.017475843259705</v>
      </c>
      <c r="K121" s="1">
        <f t="shared" si="56"/>
        <v>99.1637628512668</v>
      </c>
      <c r="L121" s="1">
        <f t="shared" si="57"/>
        <v>99.57292168760569</v>
      </c>
    </row>
    <row r="122" spans="1:12" ht="12.75">
      <c r="A122" s="1">
        <f t="shared" si="48"/>
        <v>5.999999999999987</v>
      </c>
      <c r="B122" s="1">
        <f t="shared" si="27"/>
        <v>16</v>
      </c>
      <c r="C122" s="1">
        <f t="shared" si="28"/>
        <v>0</v>
      </c>
      <c r="D122" s="1">
        <f t="shared" si="49"/>
        <v>0</v>
      </c>
      <c r="E122" s="1" t="e">
        <f t="shared" si="50"/>
        <v>#DIV/0!</v>
      </c>
      <c r="F122" s="1">
        <f t="shared" si="51"/>
        <v>0</v>
      </c>
      <c r="G122" s="1">
        <f t="shared" si="52"/>
        <v>15.934963880163819</v>
      </c>
      <c r="H122" s="1">
        <f t="shared" si="53"/>
        <v>187.43381231338472</v>
      </c>
      <c r="I122" s="1">
        <f t="shared" si="54"/>
        <v>518.5462394445677</v>
      </c>
      <c r="J122" s="1">
        <f t="shared" si="55"/>
        <v>9.017475843259705</v>
      </c>
      <c r="K122" s="1">
        <f t="shared" si="56"/>
        <v>99.70697604894012</v>
      </c>
      <c r="L122" s="1">
        <f t="shared" si="57"/>
        <v>100.11391483409132</v>
      </c>
    </row>
    <row r="123" spans="1:12" ht="12.75">
      <c r="A123" s="1">
        <f t="shared" si="48"/>
        <v>6.0499999999999865</v>
      </c>
      <c r="B123" s="1">
        <f t="shared" si="27"/>
        <v>16</v>
      </c>
      <c r="C123" s="1">
        <f t="shared" si="28"/>
        <v>0</v>
      </c>
      <c r="D123" s="1">
        <f t="shared" si="49"/>
        <v>0</v>
      </c>
      <c r="E123" s="1" t="e">
        <f t="shared" si="50"/>
        <v>#DIV/0!</v>
      </c>
      <c r="F123" s="1">
        <f t="shared" si="51"/>
        <v>0</v>
      </c>
      <c r="G123" s="1">
        <f t="shared" si="52"/>
        <v>15.93566257384394</v>
      </c>
      <c r="H123" s="1">
        <f t="shared" si="53"/>
        <v>188.09509387522377</v>
      </c>
      <c r="I123" s="1">
        <f t="shared" si="54"/>
        <v>525.8979217645237</v>
      </c>
      <c r="J123" s="1">
        <f t="shared" si="55"/>
        <v>9.017475843259705</v>
      </c>
      <c r="K123" s="1">
        <f t="shared" si="56"/>
        <v>100.2502134539457</v>
      </c>
      <c r="L123" s="1">
        <f t="shared" si="57"/>
        <v>100.65495600389207</v>
      </c>
    </row>
    <row r="124" spans="1:12" ht="12.75">
      <c r="A124" s="1">
        <f t="shared" si="48"/>
        <v>6.099999999999986</v>
      </c>
      <c r="B124" s="1">
        <f t="shared" si="27"/>
        <v>16</v>
      </c>
      <c r="C124" s="1">
        <f t="shared" si="28"/>
        <v>0</v>
      </c>
      <c r="D124" s="1">
        <f t="shared" si="49"/>
        <v>0</v>
      </c>
      <c r="E124" s="1" t="e">
        <f t="shared" si="50"/>
        <v>#DIV/0!</v>
      </c>
      <c r="F124" s="1">
        <f t="shared" si="51"/>
        <v>0</v>
      </c>
      <c r="G124" s="1">
        <f t="shared" si="52"/>
        <v>15.936350120541759</v>
      </c>
      <c r="H124" s="1">
        <f t="shared" si="53"/>
        <v>188.75637543706281</v>
      </c>
      <c r="I124" s="1">
        <f t="shared" si="54"/>
        <v>533.2894432409144</v>
      </c>
      <c r="J124" s="1">
        <f t="shared" si="55"/>
        <v>9.017475843259705</v>
      </c>
      <c r="K124" s="1">
        <f t="shared" si="56"/>
        <v>100.79347467805403</v>
      </c>
      <c r="L124" s="1">
        <f t="shared" si="57"/>
        <v>101.19604442990492</v>
      </c>
    </row>
    <row r="125" spans="1:12" ht="12.75">
      <c r="A125" s="1">
        <f t="shared" si="48"/>
        <v>6.149999999999986</v>
      </c>
      <c r="B125" s="1">
        <f t="shared" si="27"/>
        <v>16</v>
      </c>
      <c r="C125" s="1">
        <f t="shared" si="28"/>
        <v>0</v>
      </c>
      <c r="D125" s="1">
        <f t="shared" si="49"/>
        <v>0</v>
      </c>
      <c r="E125" s="1" t="e">
        <f t="shared" si="50"/>
        <v>#DIV/0!</v>
      </c>
      <c r="F125" s="1">
        <f t="shared" si="51"/>
        <v>0</v>
      </c>
      <c r="G125" s="1">
        <f t="shared" si="52"/>
        <v>15.937026755024974</v>
      </c>
      <c r="H125" s="1">
        <f t="shared" si="53"/>
        <v>189.41765699890186</v>
      </c>
      <c r="I125" s="1">
        <f t="shared" si="54"/>
        <v>540.7208055926063</v>
      </c>
      <c r="J125" s="1">
        <f t="shared" si="55"/>
        <v>9.017475843259705</v>
      </c>
      <c r="K125" s="1">
        <f t="shared" si="56"/>
        <v>101.33675934125431</v>
      </c>
      <c r="L125" s="1">
        <f t="shared" si="57"/>
        <v>101.73717936119058</v>
      </c>
    </row>
    <row r="126" spans="1:12" ht="12.75">
      <c r="A126" s="1">
        <f t="shared" si="48"/>
        <v>6.199999999999986</v>
      </c>
      <c r="B126" s="1">
        <f t="shared" si="27"/>
        <v>16</v>
      </c>
      <c r="C126" s="1">
        <f t="shared" si="28"/>
        <v>0</v>
      </c>
      <c r="D126" s="1">
        <f t="shared" si="49"/>
        <v>0</v>
      </c>
      <c r="E126" s="1" t="e">
        <f t="shared" si="50"/>
        <v>#DIV/0!</v>
      </c>
      <c r="F126" s="1">
        <f t="shared" si="51"/>
        <v>0</v>
      </c>
      <c r="G126" s="1">
        <f t="shared" si="52"/>
        <v>15.93769270594178</v>
      </c>
      <c r="H126" s="1">
        <f t="shared" si="53"/>
        <v>190.0789385607409</v>
      </c>
      <c r="I126" s="1">
        <f t="shared" si="54"/>
        <v>548.1920105111859</v>
      </c>
      <c r="J126" s="1">
        <f t="shared" si="55"/>
        <v>9.017475843259705</v>
      </c>
      <c r="K126" s="1">
        <f t="shared" si="56"/>
        <v>101.88006707153924</v>
      </c>
      <c r="L126" s="1">
        <f t="shared" si="57"/>
        <v>102.27836006255237</v>
      </c>
    </row>
    <row r="127" spans="1:12" ht="12.75">
      <c r="A127" s="1">
        <f t="shared" si="48"/>
        <v>6.249999999999986</v>
      </c>
      <c r="B127" s="1">
        <f t="shared" si="27"/>
        <v>16</v>
      </c>
      <c r="C127" s="1">
        <f t="shared" si="28"/>
        <v>0</v>
      </c>
      <c r="D127" s="1">
        <f t="shared" si="49"/>
        <v>0</v>
      </c>
      <c r="E127" s="1" t="e">
        <f t="shared" si="50"/>
        <v>#DIV/0!</v>
      </c>
      <c r="F127" s="1">
        <f t="shared" si="51"/>
        <v>0</v>
      </c>
      <c r="G127" s="1">
        <f t="shared" si="52"/>
        <v>15.938348196010397</v>
      </c>
      <c r="H127" s="1">
        <f t="shared" si="53"/>
        <v>190.74022012257996</v>
      </c>
      <c r="I127" s="1">
        <f t="shared" si="54"/>
        <v>555.7030596615303</v>
      </c>
      <c r="J127" s="1">
        <f t="shared" si="55"/>
        <v>9.017475843259705</v>
      </c>
      <c r="K127" s="1">
        <f t="shared" si="56"/>
        <v>102.42339750469635</v>
      </c>
      <c r="L127" s="1">
        <f t="shared" si="57"/>
        <v>102.8195858141279</v>
      </c>
    </row>
    <row r="128" spans="1:12" ht="12.75">
      <c r="A128" s="1">
        <f t="shared" si="48"/>
        <v>6.299999999999986</v>
      </c>
      <c r="B128" s="1">
        <f t="shared" si="27"/>
        <v>16</v>
      </c>
      <c r="C128" s="1">
        <f t="shared" si="28"/>
        <v>0</v>
      </c>
      <c r="D128" s="1">
        <f t="shared" si="49"/>
        <v>0</v>
      </c>
      <c r="E128" s="1" t="e">
        <f t="shared" si="50"/>
        <v>#DIV/0!</v>
      </c>
      <c r="F128" s="1">
        <f t="shared" si="51"/>
        <v>0</v>
      </c>
      <c r="G128" s="1">
        <f t="shared" si="52"/>
        <v>15.93899344220181</v>
      </c>
      <c r="H128" s="1">
        <f t="shared" si="53"/>
        <v>191.401501684419</v>
      </c>
      <c r="I128" s="1">
        <f t="shared" si="54"/>
        <v>563.2539546823648</v>
      </c>
      <c r="J128" s="1">
        <f t="shared" si="55"/>
        <v>9.017475843259705</v>
      </c>
      <c r="K128" s="1">
        <f t="shared" si="56"/>
        <v>102.9667502841058</v>
      </c>
      <c r="L128" s="1">
        <f t="shared" si="57"/>
        <v>103.36085591099358</v>
      </c>
    </row>
    <row r="129" spans="1:12" ht="12.75">
      <c r="A129" s="1">
        <f t="shared" si="48"/>
        <v>6.349999999999985</v>
      </c>
      <c r="B129" s="1">
        <f t="shared" si="27"/>
        <v>16</v>
      </c>
      <c r="C129" s="1">
        <f t="shared" si="28"/>
        <v>0</v>
      </c>
      <c r="D129" s="1">
        <f t="shared" si="49"/>
        <v>0</v>
      </c>
      <c r="E129" s="1" t="e">
        <f t="shared" si="50"/>
        <v>#DIV/0!</v>
      </c>
      <c r="F129" s="1">
        <f t="shared" si="51"/>
        <v>0</v>
      </c>
      <c r="G129" s="1">
        <f t="shared" si="52"/>
        <v>15.939628655916014</v>
      </c>
      <c r="H129" s="1">
        <f t="shared" si="53"/>
        <v>192.06278324625805</v>
      </c>
      <c r="I129" s="1">
        <f t="shared" si="54"/>
        <v>570.8446971868048</v>
      </c>
      <c r="J129" s="1">
        <f t="shared" si="55"/>
        <v>9.017475843259705</v>
      </c>
      <c r="K129" s="1">
        <f t="shared" si="56"/>
        <v>103.5101250605445</v>
      </c>
      <c r="L129" s="1">
        <f t="shared" si="57"/>
        <v>103.90216966278102</v>
      </c>
    </row>
    <row r="130" spans="1:12" ht="12.75">
      <c r="A130" s="1">
        <f t="shared" si="48"/>
        <v>6.399999999999985</v>
      </c>
      <c r="B130" s="1">
        <f t="shared" si="27"/>
        <v>16</v>
      </c>
      <c r="C130" s="1">
        <f t="shared" si="28"/>
        <v>0</v>
      </c>
      <c r="D130" s="1">
        <f t="shared" si="49"/>
        <v>0</v>
      </c>
      <c r="E130" s="1" t="e">
        <f t="shared" si="50"/>
        <v>#DIV/0!</v>
      </c>
      <c r="F130" s="1">
        <f t="shared" si="51"/>
        <v>0</v>
      </c>
      <c r="G130" s="1">
        <f t="shared" si="52"/>
        <v>15.940254043151997</v>
      </c>
      <c r="H130" s="1">
        <f t="shared" si="53"/>
        <v>192.7240648080971</v>
      </c>
      <c r="I130" s="1">
        <f t="shared" si="54"/>
        <v>578.4752887628845</v>
      </c>
      <c r="J130" s="1">
        <f t="shared" si="55"/>
        <v>9.017475843259705</v>
      </c>
      <c r="K130" s="1">
        <f t="shared" si="56"/>
        <v>104.05352149199618</v>
      </c>
      <c r="L130" s="1">
        <f t="shared" si="57"/>
        <v>104.4435263933054</v>
      </c>
    </row>
    <row r="131" spans="1:12" ht="12.75">
      <c r="A131" s="1">
        <f t="shared" si="48"/>
        <v>6.449999999999985</v>
      </c>
      <c r="B131" s="1">
        <f aca="true" t="shared" si="58" ref="B131:B194">amax*MIN(1,(A131/k))</f>
        <v>16</v>
      </c>
      <c r="C131" s="1">
        <f aca="true" t="shared" si="59" ref="C131:C194">g*SQRT(1-B131*B131/(amax*amax))</f>
        <v>0</v>
      </c>
      <c r="D131" s="1">
        <f t="shared" si="49"/>
        <v>0</v>
      </c>
      <c r="E131" s="1" t="e">
        <f t="shared" si="50"/>
        <v>#DIV/0!</v>
      </c>
      <c r="F131" s="1">
        <f t="shared" si="51"/>
        <v>0</v>
      </c>
      <c r="G131" s="1">
        <f t="shared" si="52"/>
        <v>15.940869804671758</v>
      </c>
      <c r="H131" s="1">
        <f t="shared" si="53"/>
        <v>193.38534636993614</v>
      </c>
      <c r="I131" s="1">
        <f t="shared" si="54"/>
        <v>586.1457309740721</v>
      </c>
      <c r="J131" s="1">
        <f t="shared" si="55"/>
        <v>9.017475843259705</v>
      </c>
      <c r="K131" s="1">
        <f t="shared" si="56"/>
        <v>104.59693924346728</v>
      </c>
      <c r="L131" s="1">
        <f t="shared" si="57"/>
        <v>104.98492544020479</v>
      </c>
    </row>
    <row r="132" spans="1:12" ht="12.75">
      <c r="A132" s="1">
        <f t="shared" si="48"/>
        <v>6.499999999999985</v>
      </c>
      <c r="B132" s="1">
        <f t="shared" si="58"/>
        <v>16</v>
      </c>
      <c r="C132" s="1">
        <f t="shared" si="59"/>
        <v>0</v>
      </c>
      <c r="D132" s="1">
        <f t="shared" si="49"/>
        <v>0</v>
      </c>
      <c r="E132" s="1" t="e">
        <f t="shared" si="50"/>
        <v>#DIV/0!</v>
      </c>
      <c r="F132" s="1">
        <f t="shared" si="51"/>
        <v>0</v>
      </c>
      <c r="G132" s="1">
        <f t="shared" si="52"/>
        <v>15.941476136158547</v>
      </c>
      <c r="H132" s="1">
        <f t="shared" si="53"/>
        <v>194.0466279317752</v>
      </c>
      <c r="I132" s="1">
        <f t="shared" si="54"/>
        <v>593.8560253597714</v>
      </c>
      <c r="J132" s="1">
        <f t="shared" si="55"/>
        <v>9.017475843259705</v>
      </c>
      <c r="K132" s="1">
        <f t="shared" si="56"/>
        <v>105.14037798680836</v>
      </c>
      <c r="L132" s="1">
        <f t="shared" si="57"/>
        <v>105.52636615459052</v>
      </c>
    </row>
    <row r="133" spans="1:12" ht="12.75">
      <c r="A133" s="1">
        <f t="shared" si="48"/>
        <v>6.549999999999985</v>
      </c>
      <c r="B133" s="1">
        <f t="shared" si="58"/>
        <v>16</v>
      </c>
      <c r="C133" s="1">
        <f t="shared" si="59"/>
        <v>0</v>
      </c>
      <c r="D133" s="1">
        <f t="shared" si="49"/>
        <v>0</v>
      </c>
      <c r="E133" s="1" t="e">
        <f t="shared" si="50"/>
        <v>#DIV/0!</v>
      </c>
      <c r="F133" s="1">
        <f t="shared" si="51"/>
        <v>0</v>
      </c>
      <c r="G133" s="1">
        <f t="shared" si="52"/>
        <v>15.942073228369578</v>
      </c>
      <c r="H133" s="1">
        <f t="shared" si="53"/>
        <v>194.70790949361424</v>
      </c>
      <c r="I133" s="1">
        <f t="shared" si="54"/>
        <v>601.606173435811</v>
      </c>
      <c r="J133" s="1">
        <f t="shared" si="55"/>
        <v>9.017475843259705</v>
      </c>
      <c r="K133" s="1">
        <f t="shared" si="56"/>
        <v>105.68383740054104</v>
      </c>
      <c r="L133" s="1">
        <f t="shared" si="57"/>
        <v>106.0678479007082</v>
      </c>
    </row>
    <row r="134" spans="1:12" ht="12.75">
      <c r="A134" s="1">
        <f t="shared" si="48"/>
        <v>6.5999999999999845</v>
      </c>
      <c r="B134" s="1">
        <f t="shared" si="58"/>
        <v>16</v>
      </c>
      <c r="C134" s="1">
        <f t="shared" si="59"/>
        <v>0</v>
      </c>
      <c r="D134" s="1">
        <f t="shared" si="49"/>
        <v>0</v>
      </c>
      <c r="E134" s="1" t="e">
        <f t="shared" si="50"/>
        <v>#DIV/0!</v>
      </c>
      <c r="F134" s="1">
        <f t="shared" si="51"/>
        <v>0</v>
      </c>
      <c r="G134" s="1">
        <f t="shared" si="52"/>
        <v>15.942661267283462</v>
      </c>
      <c r="H134" s="1">
        <f t="shared" si="53"/>
        <v>195.36919105545329</v>
      </c>
      <c r="I134" s="1">
        <f t="shared" si="54"/>
        <v>609.3961766949216</v>
      </c>
      <c r="J134" s="1">
        <f t="shared" si="55"/>
        <v>9.017475843259705</v>
      </c>
      <c r="K134" s="1">
        <f t="shared" si="56"/>
        <v>106.22731716969</v>
      </c>
      <c r="L134" s="1">
        <f t="shared" si="57"/>
        <v>106.60937005560857</v>
      </c>
    </row>
    <row r="135" spans="1:12" ht="12.75">
      <c r="A135" s="1">
        <f t="shared" si="48"/>
        <v>6.649999999999984</v>
      </c>
      <c r="B135" s="1">
        <f t="shared" si="58"/>
        <v>16</v>
      </c>
      <c r="C135" s="1">
        <f t="shared" si="59"/>
        <v>0</v>
      </c>
      <c r="D135" s="1">
        <f t="shared" si="49"/>
        <v>0</v>
      </c>
      <c r="E135" s="1" t="e">
        <f t="shared" si="50"/>
        <v>#DIV/0!</v>
      </c>
      <c r="F135" s="1">
        <f t="shared" si="51"/>
        <v>0</v>
      </c>
      <c r="G135" s="1">
        <f t="shared" si="52"/>
        <v>15.943240434242508</v>
      </c>
      <c r="H135" s="1">
        <f t="shared" si="53"/>
        <v>196.03047261729233</v>
      </c>
      <c r="I135" s="1">
        <f t="shared" si="54"/>
        <v>617.2260366072004</v>
      </c>
      <c r="J135" s="1">
        <f t="shared" si="55"/>
        <v>9.017475843259705</v>
      </c>
      <c r="K135" s="1">
        <f t="shared" si="56"/>
        <v>106.77081698562012</v>
      </c>
      <c r="L135" s="1">
        <f t="shared" si="57"/>
        <v>107.15093200882835</v>
      </c>
    </row>
    <row r="136" spans="1:12" ht="12.75">
      <c r="A136" s="1">
        <f t="shared" si="48"/>
        <v>6.699999999999984</v>
      </c>
      <c r="B136" s="1">
        <f t="shared" si="58"/>
        <v>16</v>
      </c>
      <c r="C136" s="1">
        <f t="shared" si="59"/>
        <v>0</v>
      </c>
      <c r="D136" s="1">
        <f t="shared" si="49"/>
        <v>0</v>
      </c>
      <c r="E136" s="1" t="e">
        <f t="shared" si="50"/>
        <v>#DIV/0!</v>
      </c>
      <c r="F136" s="1">
        <f t="shared" si="51"/>
        <v>0</v>
      </c>
      <c r="G136" s="1">
        <f t="shared" si="52"/>
        <v>15.94381090609014</v>
      </c>
      <c r="H136" s="1">
        <f t="shared" si="53"/>
        <v>196.69175417913138</v>
      </c>
      <c r="I136" s="1">
        <f t="shared" si="54"/>
        <v>625.0957546205648</v>
      </c>
      <c r="J136" s="1">
        <f t="shared" si="55"/>
        <v>9.017475843259705</v>
      </c>
      <c r="K136" s="1">
        <f t="shared" si="56"/>
        <v>107.31433654587838</v>
      </c>
      <c r="L136" s="1">
        <f t="shared" si="57"/>
        <v>107.69253316208055</v>
      </c>
    </row>
    <row r="137" spans="1:12" ht="12.75">
      <c r="A137" s="1">
        <f t="shared" si="48"/>
        <v>6.749999999999984</v>
      </c>
      <c r="B137" s="1">
        <f t="shared" si="58"/>
        <v>16</v>
      </c>
      <c r="C137" s="1">
        <f t="shared" si="59"/>
        <v>0</v>
      </c>
      <c r="D137" s="1">
        <f t="shared" si="49"/>
        <v>0</v>
      </c>
      <c r="E137" s="1" t="e">
        <f t="shared" si="50"/>
        <v>#DIV/0!</v>
      </c>
      <c r="F137" s="1">
        <f t="shared" si="51"/>
        <v>0</v>
      </c>
      <c r="G137" s="1">
        <f t="shared" si="52"/>
        <v>15.944372855303623</v>
      </c>
      <c r="H137" s="1">
        <f t="shared" si="53"/>
        <v>197.35303574097043</v>
      </c>
      <c r="I137" s="1">
        <f t="shared" si="54"/>
        <v>633.0053321611945</v>
      </c>
      <c r="J137" s="1">
        <f t="shared" si="55"/>
        <v>9.017475843259705</v>
      </c>
      <c r="K137" s="1">
        <f t="shared" si="56"/>
        <v>107.85787555404055</v>
      </c>
      <c r="L137" s="1">
        <f t="shared" si="57"/>
        <v>108.23417292895377</v>
      </c>
    </row>
    <row r="138" spans="1:12" ht="12.75">
      <c r="A138" s="1">
        <f t="shared" si="48"/>
        <v>6.799999999999984</v>
      </c>
      <c r="B138" s="1">
        <f t="shared" si="58"/>
        <v>16</v>
      </c>
      <c r="C138" s="1">
        <f t="shared" si="59"/>
        <v>0</v>
      </c>
      <c r="D138" s="1">
        <f t="shared" si="49"/>
        <v>0</v>
      </c>
      <c r="E138" s="1" t="e">
        <f t="shared" si="50"/>
        <v>#DIV/0!</v>
      </c>
      <c r="F138" s="1">
        <f t="shared" si="51"/>
        <v>0</v>
      </c>
      <c r="G138" s="1">
        <f t="shared" si="52"/>
        <v>15.944926450122225</v>
      </c>
      <c r="H138" s="1">
        <f t="shared" si="53"/>
        <v>198.01431730280947</v>
      </c>
      <c r="I138" s="1">
        <f t="shared" si="54"/>
        <v>640.9547706339624</v>
      </c>
      <c r="J138" s="1">
        <f t="shared" si="55"/>
        <v>9.017475843259705</v>
      </c>
      <c r="K138" s="1">
        <f t="shared" si="56"/>
        <v>108.40143371956226</v>
      </c>
      <c r="L138" s="1">
        <f t="shared" si="57"/>
        <v>108.77585073462042</v>
      </c>
    </row>
    <row r="139" spans="1:12" ht="12.75">
      <c r="A139" s="1">
        <f t="shared" si="48"/>
        <v>6.849999999999984</v>
      </c>
      <c r="B139" s="1">
        <f t="shared" si="58"/>
        <v>16</v>
      </c>
      <c r="C139" s="1">
        <f t="shared" si="59"/>
        <v>0</v>
      </c>
      <c r="D139" s="1">
        <f t="shared" si="49"/>
        <v>0</v>
      </c>
      <c r="E139" s="1" t="e">
        <f t="shared" si="50"/>
        <v>#DIV/0!</v>
      </c>
      <c r="F139" s="1">
        <f t="shared" si="51"/>
        <v>0</v>
      </c>
      <c r="G139" s="1">
        <f t="shared" si="52"/>
        <v>15.945471854671062</v>
      </c>
      <c r="H139" s="1">
        <f t="shared" si="53"/>
        <v>198.67559886464852</v>
      </c>
      <c r="I139" s="1">
        <f t="shared" si="54"/>
        <v>648.9440714228556</v>
      </c>
      <c r="J139" s="1">
        <f t="shared" si="55"/>
        <v>9.017475843259705</v>
      </c>
      <c r="K139" s="1">
        <f t="shared" si="56"/>
        <v>108.9450107576346</v>
      </c>
      <c r="L139" s="1">
        <f t="shared" si="57"/>
        <v>109.31756601555347</v>
      </c>
    </row>
    <row r="140" spans="1:12" ht="12.75">
      <c r="A140" s="1">
        <f t="shared" si="48"/>
        <v>6.8999999999999835</v>
      </c>
      <c r="B140" s="1">
        <f t="shared" si="58"/>
        <v>16</v>
      </c>
      <c r="C140" s="1">
        <f t="shared" si="59"/>
        <v>0</v>
      </c>
      <c r="D140" s="1">
        <f t="shared" si="49"/>
        <v>0</v>
      </c>
      <c r="E140" s="1" t="e">
        <f t="shared" si="50"/>
        <v>#DIV/0!</v>
      </c>
      <c r="F140" s="1">
        <f t="shared" si="51"/>
        <v>0</v>
      </c>
      <c r="G140" s="1">
        <f t="shared" si="52"/>
        <v>15.946009229080746</v>
      </c>
      <c r="H140" s="1">
        <f t="shared" si="53"/>
        <v>199.33688042648757</v>
      </c>
      <c r="I140" s="1">
        <f t="shared" si="54"/>
        <v>656.9732358913855</v>
      </c>
      <c r="J140" s="1">
        <f t="shared" si="55"/>
        <v>9.017475843259705</v>
      </c>
      <c r="K140" s="1">
        <f t="shared" si="56"/>
        <v>109.48860638904385</v>
      </c>
      <c r="L140" s="1">
        <f t="shared" si="57"/>
        <v>109.85931821925142</v>
      </c>
    </row>
    <row r="141" spans="1:12" ht="12.75">
      <c r="A141" s="1">
        <f t="shared" si="48"/>
        <v>6.949999999999983</v>
      </c>
      <c r="B141" s="1">
        <f t="shared" si="58"/>
        <v>16</v>
      </c>
      <c r="C141" s="1">
        <f t="shared" si="59"/>
        <v>0</v>
      </c>
      <c r="D141" s="1">
        <f t="shared" si="49"/>
        <v>0</v>
      </c>
      <c r="E141" s="1" t="e">
        <f t="shared" si="50"/>
        <v>#DIV/0!</v>
      </c>
      <c r="F141" s="1">
        <f t="shared" si="51"/>
        <v>0</v>
      </c>
      <c r="G141" s="1">
        <f t="shared" si="52"/>
        <v>15.946538729603011</v>
      </c>
      <c r="H141" s="1">
        <f t="shared" si="53"/>
        <v>199.99816198832661</v>
      </c>
      <c r="I141" s="1">
        <f t="shared" si="54"/>
        <v>665.042265382988</v>
      </c>
      <c r="J141" s="1">
        <f t="shared" si="55"/>
        <v>9.017475843259705</v>
      </c>
      <c r="K141" s="1">
        <f t="shared" si="56"/>
        <v>110.03222034003524</v>
      </c>
      <c r="L141" s="1">
        <f t="shared" si="57"/>
        <v>110.4011068039711</v>
      </c>
    </row>
    <row r="142" spans="1:12" ht="12.75">
      <c r="A142" s="1">
        <f t="shared" si="48"/>
        <v>6.999999999999983</v>
      </c>
      <c r="B142" s="1">
        <f t="shared" si="58"/>
        <v>16</v>
      </c>
      <c r="C142" s="1">
        <f t="shared" si="59"/>
        <v>0</v>
      </c>
      <c r="D142" s="1">
        <f t="shared" si="49"/>
        <v>0</v>
      </c>
      <c r="E142" s="1" t="e">
        <f t="shared" si="50"/>
        <v>#DIV/0!</v>
      </c>
      <c r="F142" s="1">
        <f t="shared" si="51"/>
        <v>0</v>
      </c>
      <c r="G142" s="1">
        <f t="shared" si="52"/>
        <v>15.947060508722469</v>
      </c>
      <c r="H142" s="1">
        <f t="shared" si="53"/>
        <v>200.65944355016566</v>
      </c>
      <c r="I142" s="1">
        <f t="shared" si="54"/>
        <v>673.1511612214147</v>
      </c>
      <c r="J142" s="1">
        <f t="shared" si="55"/>
        <v>9.017475843259705</v>
      </c>
      <c r="K142" s="1">
        <f t="shared" si="56"/>
        <v>110.5758523421808</v>
      </c>
      <c r="L142" s="1">
        <f t="shared" si="57"/>
        <v>110.94293123846846</v>
      </c>
    </row>
    <row r="143" spans="1:12" ht="12.75">
      <c r="A143" s="1">
        <f t="shared" si="48"/>
        <v>7.049999999999983</v>
      </c>
      <c r="B143" s="1">
        <f t="shared" si="58"/>
        <v>16</v>
      </c>
      <c r="C143" s="1">
        <f t="shared" si="59"/>
        <v>0</v>
      </c>
      <c r="D143" s="1">
        <f t="shared" si="49"/>
        <v>0</v>
      </c>
      <c r="E143" s="1" t="e">
        <f t="shared" si="50"/>
        <v>#DIV/0!</v>
      </c>
      <c r="F143" s="1">
        <f t="shared" si="51"/>
        <v>0</v>
      </c>
      <c r="G143" s="1">
        <f t="shared" si="52"/>
        <v>15.94757471526464</v>
      </c>
      <c r="H143" s="1">
        <f t="shared" si="53"/>
        <v>201.3207251120047</v>
      </c>
      <c r="I143" s="1">
        <f t="shared" si="54"/>
        <v>681.299924711113</v>
      </c>
      <c r="J143" s="1">
        <f t="shared" si="55"/>
        <v>9.017475843259705</v>
      </c>
      <c r="K143" s="1">
        <f t="shared" si="56"/>
        <v>111.11950213225087</v>
      </c>
      <c r="L143" s="1">
        <f t="shared" si="57"/>
        <v>111.48479100174642</v>
      </c>
    </row>
    <row r="144" spans="1:12" ht="12.75">
      <c r="A144" s="1">
        <f t="shared" si="48"/>
        <v>7.099999999999983</v>
      </c>
      <c r="B144" s="1">
        <f t="shared" si="58"/>
        <v>16</v>
      </c>
      <c r="C144" s="1">
        <f t="shared" si="59"/>
        <v>0</v>
      </c>
      <c r="D144" s="1">
        <f t="shared" si="49"/>
        <v>0</v>
      </c>
      <c r="E144" s="1" t="e">
        <f t="shared" si="50"/>
        <v>#DIV/0!</v>
      </c>
      <c r="F144" s="1">
        <f t="shared" si="51"/>
        <v>0</v>
      </c>
      <c r="G144" s="1">
        <f t="shared" si="52"/>
        <v>15.948081494500409</v>
      </c>
      <c r="H144" s="1">
        <f t="shared" si="53"/>
        <v>201.98200667384376</v>
      </c>
      <c r="I144" s="1">
        <f t="shared" si="54"/>
        <v>689.4885571375996</v>
      </c>
      <c r="J144" s="1">
        <f t="shared" si="55"/>
        <v>9.017475843259705</v>
      </c>
      <c r="K144" s="1">
        <f t="shared" si="56"/>
        <v>111.66316945208943</v>
      </c>
      <c r="L144" s="1">
        <f t="shared" si="57"/>
        <v>112.02668558281019</v>
      </c>
    </row>
    <row r="145" spans="1:12" ht="12.75">
      <c r="A145" s="1">
        <f t="shared" si="48"/>
        <v>7.149999999999983</v>
      </c>
      <c r="B145" s="1">
        <f t="shared" si="58"/>
        <v>16</v>
      </c>
      <c r="C145" s="1">
        <f t="shared" si="59"/>
        <v>0</v>
      </c>
      <c r="D145" s="1">
        <f t="shared" si="49"/>
        <v>0</v>
      </c>
      <c r="E145" s="1" t="e">
        <f t="shared" si="50"/>
        <v>#DIV/0!</v>
      </c>
      <c r="F145" s="1">
        <f t="shared" si="51"/>
        <v>0</v>
      </c>
      <c r="G145" s="1">
        <f t="shared" si="52"/>
        <v>15.948580988247024</v>
      </c>
      <c r="H145" s="1">
        <f t="shared" si="53"/>
        <v>202.6432882356828</v>
      </c>
      <c r="I145" s="1">
        <f t="shared" si="54"/>
        <v>697.7170597678224</v>
      </c>
      <c r="J145" s="1">
        <f t="shared" si="55"/>
        <v>9.017475843259705</v>
      </c>
      <c r="K145" s="1">
        <f t="shared" si="56"/>
        <v>112.20685404849286</v>
      </c>
      <c r="L145" s="1">
        <f t="shared" si="57"/>
        <v>112.56861448042945</v>
      </c>
    </row>
    <row r="146" spans="1:12" ht="12.75">
      <c r="A146" s="1">
        <f t="shared" si="48"/>
        <v>7.199999999999982</v>
      </c>
      <c r="B146" s="1">
        <f t="shared" si="58"/>
        <v>16</v>
      </c>
      <c r="C146" s="1">
        <f t="shared" si="59"/>
        <v>0</v>
      </c>
      <c r="D146" s="1">
        <f t="shared" si="49"/>
        <v>0</v>
      </c>
      <c r="E146" s="1" t="e">
        <f t="shared" si="50"/>
        <v>#DIV/0!</v>
      </c>
      <c r="F146" s="1">
        <f t="shared" si="51"/>
        <v>0</v>
      </c>
      <c r="G146" s="1">
        <f t="shared" si="52"/>
        <v>15.949073334965773</v>
      </c>
      <c r="H146" s="1">
        <f t="shared" si="53"/>
        <v>203.30456979752185</v>
      </c>
      <c r="I146" s="1">
        <f t="shared" si="54"/>
        <v>705.9854338505158</v>
      </c>
      <c r="J146" s="1">
        <f t="shared" si="55"/>
        <v>9.017475843259705</v>
      </c>
      <c r="K146" s="1">
        <f t="shared" si="56"/>
        <v>112.7505556730922</v>
      </c>
      <c r="L146" s="1">
        <f t="shared" si="57"/>
        <v>113.11057720290722</v>
      </c>
    </row>
    <row r="147" spans="1:12" ht="12.75">
      <c r="A147" s="1">
        <f t="shared" si="48"/>
        <v>7.249999999999982</v>
      </c>
      <c r="B147" s="1">
        <f t="shared" si="58"/>
        <v>16</v>
      </c>
      <c r="C147" s="1">
        <f t="shared" si="59"/>
        <v>0</v>
      </c>
      <c r="D147" s="1">
        <f t="shared" si="49"/>
        <v>0</v>
      </c>
      <c r="E147" s="1" t="e">
        <f t="shared" si="50"/>
        <v>#DIV/0!</v>
      </c>
      <c r="F147" s="1">
        <f t="shared" si="51"/>
        <v>0</v>
      </c>
      <c r="G147" s="1">
        <f t="shared" si="52"/>
        <v>15.949558669856485</v>
      </c>
      <c r="H147" s="1">
        <f t="shared" si="53"/>
        <v>203.9658513593609</v>
      </c>
      <c r="I147" s="1">
        <f t="shared" si="54"/>
        <v>714.2936806165467</v>
      </c>
      <c r="J147" s="1">
        <f t="shared" si="55"/>
        <v>9.017475843259705</v>
      </c>
      <c r="K147" s="1">
        <f t="shared" si="56"/>
        <v>113.29427408223876</v>
      </c>
      <c r="L147" s="1">
        <f t="shared" si="57"/>
        <v>113.65257326785526</v>
      </c>
    </row>
    <row r="148" spans="1:12" ht="12.75">
      <c r="A148" s="1">
        <f t="shared" si="48"/>
        <v>7.299999999999982</v>
      </c>
      <c r="B148" s="1">
        <f t="shared" si="58"/>
        <v>16</v>
      </c>
      <c r="C148" s="1">
        <f t="shared" si="59"/>
        <v>0</v>
      </c>
      <c r="D148" s="1">
        <f t="shared" si="49"/>
        <v>0</v>
      </c>
      <c r="E148" s="1" t="e">
        <f t="shared" si="50"/>
        <v>#DIV/0!</v>
      </c>
      <c r="F148" s="1">
        <f t="shared" si="51"/>
        <v>0</v>
      </c>
      <c r="G148" s="1">
        <f t="shared" si="52"/>
        <v>15.950037124948917</v>
      </c>
      <c r="H148" s="1">
        <f t="shared" si="53"/>
        <v>204.62713292119994</v>
      </c>
      <c r="I148" s="1">
        <f t="shared" si="54"/>
        <v>722.6418012792521</v>
      </c>
      <c r="J148" s="1">
        <f t="shared" si="55"/>
        <v>9.017475843259705</v>
      </c>
      <c r="K148" s="1">
        <f t="shared" si="56"/>
        <v>113.83800903689296</v>
      </c>
      <c r="L148" s="1">
        <f t="shared" si="57"/>
        <v>114.1946022019758</v>
      </c>
    </row>
    <row r="149" spans="1:12" ht="12.75">
      <c r="A149" s="1">
        <f t="shared" si="48"/>
        <v>7.349999999999982</v>
      </c>
      <c r="B149" s="1">
        <f t="shared" si="58"/>
        <v>16</v>
      </c>
      <c r="C149" s="1">
        <f t="shared" si="59"/>
        <v>0</v>
      </c>
      <c r="D149" s="1">
        <f t="shared" si="49"/>
        <v>0</v>
      </c>
      <c r="E149" s="1" t="e">
        <f t="shared" si="50"/>
        <v>#DIV/0!</v>
      </c>
      <c r="F149" s="1">
        <f t="shared" si="51"/>
        <v>0</v>
      </c>
      <c r="G149" s="1">
        <f t="shared" si="52"/>
        <v>15.950508829191229</v>
      </c>
      <c r="H149" s="1">
        <f t="shared" si="53"/>
        <v>205.288414483039</v>
      </c>
      <c r="I149" s="1">
        <f t="shared" si="54"/>
        <v>731.02979703477</v>
      </c>
      <c r="J149" s="1">
        <f t="shared" si="55"/>
        <v>9.017475843259705</v>
      </c>
      <c r="K149" s="1">
        <f t="shared" si="56"/>
        <v>114.38176030251621</v>
      </c>
      <c r="L149" s="1">
        <f t="shared" si="57"/>
        <v>114.73666354084925</v>
      </c>
    </row>
    <row r="150" spans="1:12" ht="12.75">
      <c r="A150" s="1">
        <f aca="true" t="shared" si="60" ref="A150:A213">A149+deltat</f>
        <v>7.399999999999982</v>
      </c>
      <c r="B150" s="1">
        <f t="shared" si="58"/>
        <v>16</v>
      </c>
      <c r="C150" s="1">
        <f t="shared" si="59"/>
        <v>0</v>
      </c>
      <c r="D150" s="1">
        <f aca="true" t="shared" si="61" ref="D150:D213">MAX(0,MIN(C150,g*(1-A150/k_unwind)))</f>
        <v>0</v>
      </c>
      <c r="E150" s="1" t="e">
        <f aca="true" t="shared" si="62" ref="E150:E213">(L150*L150*22*22/(15*15))/D150</f>
        <v>#DIV/0!</v>
      </c>
      <c r="F150" s="1">
        <f aca="true" t="shared" si="63" ref="F150:F213">MIN(0,B150*J150/L150-D150*K150/L150)</f>
        <v>0</v>
      </c>
      <c r="G150" s="1">
        <f aca="true" t="shared" si="64" ref="G150:G213">MAX(0,B150*K150/L150+D150*J150/L150)</f>
        <v>15.95097390853555</v>
      </c>
      <c r="H150" s="1">
        <f aca="true" t="shared" si="65" ref="H150:H213">H149+J150*deltat*22/15</f>
        <v>205.94969604487804</v>
      </c>
      <c r="I150" s="1">
        <f aca="true" t="shared" si="66" ref="I150:I213">I149+K150*deltat*22/15</f>
        <v>739.4576690623609</v>
      </c>
      <c r="J150" s="1">
        <f aca="true" t="shared" si="67" ref="J150:J213">MAX(0,J149+F149*deltat*15/22)</f>
        <v>9.017475843259705</v>
      </c>
      <c r="K150" s="1">
        <f aca="true" t="shared" si="68" ref="K150:K213">K149+G149*deltat*15/22</f>
        <v>114.92552764896591</v>
      </c>
      <c r="L150" s="1">
        <f aca="true" t="shared" si="69" ref="L150:L213">SQRT(K150*K150+J150*J150)</f>
        <v>115.27875682872799</v>
      </c>
    </row>
    <row r="151" spans="1:12" ht="12.75">
      <c r="A151" s="1">
        <f t="shared" si="60"/>
        <v>7.4499999999999815</v>
      </c>
      <c r="B151" s="1">
        <f t="shared" si="58"/>
        <v>16</v>
      </c>
      <c r="C151" s="1">
        <f t="shared" si="59"/>
        <v>0</v>
      </c>
      <c r="D151" s="1">
        <f t="shared" si="61"/>
        <v>0</v>
      </c>
      <c r="E151" s="1" t="e">
        <f t="shared" si="62"/>
        <v>#DIV/0!</v>
      </c>
      <c r="F151" s="1">
        <f t="shared" si="63"/>
        <v>0</v>
      </c>
      <c r="G151" s="1">
        <f t="shared" si="64"/>
        <v>15.951432486020833</v>
      </c>
      <c r="H151" s="1">
        <f t="shared" si="65"/>
        <v>206.61097760671709</v>
      </c>
      <c r="I151" s="1">
        <f t="shared" si="66"/>
        <v>747.925418524723</v>
      </c>
      <c r="J151" s="1">
        <f t="shared" si="67"/>
        <v>9.017475843259705</v>
      </c>
      <c r="K151" s="1">
        <f t="shared" si="68"/>
        <v>115.46931085039326</v>
      </c>
      <c r="L151" s="1">
        <f t="shared" si="69"/>
        <v>115.82088161833563</v>
      </c>
    </row>
    <row r="152" spans="1:12" ht="12.75">
      <c r="A152" s="1">
        <f t="shared" si="60"/>
        <v>7.499999999999981</v>
      </c>
      <c r="B152" s="1">
        <f t="shared" si="58"/>
        <v>16</v>
      </c>
      <c r="C152" s="1">
        <f t="shared" si="59"/>
        <v>0</v>
      </c>
      <c r="D152" s="1">
        <f t="shared" si="61"/>
        <v>0</v>
      </c>
      <c r="E152" s="1" t="e">
        <f t="shared" si="62"/>
        <v>#DIV/0!</v>
      </c>
      <c r="F152" s="1">
        <f t="shared" si="63"/>
        <v>0</v>
      </c>
      <c r="G152" s="1">
        <f t="shared" si="64"/>
        <v>15.951884681853034</v>
      </c>
      <c r="H152" s="1">
        <f t="shared" si="65"/>
        <v>207.27225916855613</v>
      </c>
      <c r="I152" s="1">
        <f t="shared" si="66"/>
        <v>756.4330465683003</v>
      </c>
      <c r="J152" s="1">
        <f t="shared" si="67"/>
        <v>9.017475843259705</v>
      </c>
      <c r="K152" s="1">
        <f t="shared" si="68"/>
        <v>116.01310968514397</v>
      </c>
      <c r="L152" s="1">
        <f t="shared" si="69"/>
        <v>116.36303747067201</v>
      </c>
    </row>
    <row r="153" spans="1:12" ht="12.75">
      <c r="A153" s="1">
        <f t="shared" si="60"/>
        <v>7.549999999999981</v>
      </c>
      <c r="B153" s="1">
        <f t="shared" si="58"/>
        <v>16</v>
      </c>
      <c r="C153" s="1">
        <f t="shared" si="59"/>
        <v>0</v>
      </c>
      <c r="D153" s="1">
        <f t="shared" si="61"/>
        <v>0</v>
      </c>
      <c r="E153" s="1" t="e">
        <f t="shared" si="62"/>
        <v>#DIV/0!</v>
      </c>
      <c r="F153" s="1">
        <f t="shared" si="63"/>
        <v>0</v>
      </c>
      <c r="G153" s="1">
        <f t="shared" si="64"/>
        <v>15.952330613482768</v>
      </c>
      <c r="H153" s="1">
        <f t="shared" si="65"/>
        <v>207.93354073039518</v>
      </c>
      <c r="I153" s="1">
        <f t="shared" si="66"/>
        <v>764.9805543235822</v>
      </c>
      <c r="J153" s="1">
        <f t="shared" si="67"/>
        <v>9.017475843259705</v>
      </c>
      <c r="K153" s="1">
        <f t="shared" si="68"/>
        <v>116.55692393566169</v>
      </c>
      <c r="L153" s="1">
        <f t="shared" si="69"/>
        <v>116.90522395482331</v>
      </c>
    </row>
    <row r="154" spans="1:12" ht="12.75">
      <c r="A154" s="1">
        <f t="shared" si="60"/>
        <v>7.599999999999981</v>
      </c>
      <c r="B154" s="1">
        <f t="shared" si="58"/>
        <v>16</v>
      </c>
      <c r="C154" s="1">
        <f t="shared" si="59"/>
        <v>0</v>
      </c>
      <c r="D154" s="1">
        <f t="shared" si="61"/>
        <v>0</v>
      </c>
      <c r="E154" s="1" t="e">
        <f t="shared" si="62"/>
        <v>#DIV/0!</v>
      </c>
      <c r="F154" s="1">
        <f t="shared" si="63"/>
        <v>0</v>
      </c>
      <c r="G154" s="1">
        <f t="shared" si="64"/>
        <v>15.952770395680457</v>
      </c>
      <c r="H154" s="1">
        <f t="shared" si="65"/>
        <v>208.59482229223423</v>
      </c>
      <c r="I154" s="1">
        <f t="shared" si="66"/>
        <v>773.5679429053978</v>
      </c>
      <c r="J154" s="1">
        <f t="shared" si="67"/>
        <v>9.017475843259705</v>
      </c>
      <c r="K154" s="1">
        <f t="shared" si="68"/>
        <v>117.10075338839405</v>
      </c>
      <c r="L154" s="1">
        <f t="shared" si="69"/>
        <v>117.44744064777765</v>
      </c>
    </row>
    <row r="155" spans="1:12" ht="12.75">
      <c r="A155" s="1">
        <f t="shared" si="60"/>
        <v>7.649999999999981</v>
      </c>
      <c r="B155" s="1">
        <f t="shared" si="58"/>
        <v>16</v>
      </c>
      <c r="C155" s="1">
        <f t="shared" si="59"/>
        <v>0</v>
      </c>
      <c r="D155" s="1">
        <f t="shared" si="61"/>
        <v>0</v>
      </c>
      <c r="E155" s="1" t="e">
        <f t="shared" si="62"/>
        <v>#DIV/0!</v>
      </c>
      <c r="F155" s="1">
        <f t="shared" si="63"/>
        <v>0</v>
      </c>
      <c r="G155" s="1">
        <f t="shared" si="64"/>
        <v>15.953204140609156</v>
      </c>
      <c r="H155" s="1">
        <f t="shared" si="65"/>
        <v>209.25610385407327</v>
      </c>
      <c r="I155" s="1">
        <f t="shared" si="66"/>
        <v>782.1952134132025</v>
      </c>
      <c r="J155" s="1">
        <f t="shared" si="67"/>
        <v>9.017475843259705</v>
      </c>
      <c r="K155" s="1">
        <f t="shared" si="68"/>
        <v>117.64459783370134</v>
      </c>
      <c r="L155" s="1">
        <f t="shared" si="69"/>
        <v>117.98968713424533</v>
      </c>
    </row>
    <row r="156" spans="1:12" ht="12.75">
      <c r="A156" s="1">
        <f t="shared" si="60"/>
        <v>7.699999999999981</v>
      </c>
      <c r="B156" s="1">
        <f t="shared" si="58"/>
        <v>16</v>
      </c>
      <c r="C156" s="1">
        <f t="shared" si="59"/>
        <v>0</v>
      </c>
      <c r="D156" s="1">
        <f t="shared" si="61"/>
        <v>0</v>
      </c>
      <c r="E156" s="1" t="e">
        <f t="shared" si="62"/>
        <v>#DIV/0!</v>
      </c>
      <c r="F156" s="1">
        <f t="shared" si="63"/>
        <v>0</v>
      </c>
      <c r="G156" s="1">
        <f t="shared" si="64"/>
        <v>15.953631957895047</v>
      </c>
      <c r="H156" s="1">
        <f t="shared" si="65"/>
        <v>209.91738541591232</v>
      </c>
      <c r="I156" s="1">
        <f t="shared" si="66"/>
        <v>790.8623669313588</v>
      </c>
      <c r="J156" s="1">
        <f t="shared" si="67"/>
        <v>9.017475843259705</v>
      </c>
      <c r="K156" s="1">
        <f t="shared" si="68"/>
        <v>118.18845706576757</v>
      </c>
      <c r="L156" s="1">
        <f t="shared" si="69"/>
        <v>118.53196300648428</v>
      </c>
    </row>
    <row r="157" spans="1:12" ht="12.75">
      <c r="A157" s="1">
        <f t="shared" si="60"/>
        <v>7.7499999999999805</v>
      </c>
      <c r="B157" s="1">
        <f t="shared" si="58"/>
        <v>16</v>
      </c>
      <c r="C157" s="1">
        <f t="shared" si="59"/>
        <v>0</v>
      </c>
      <c r="D157" s="1">
        <f t="shared" si="61"/>
        <v>0</v>
      </c>
      <c r="E157" s="1" t="e">
        <f t="shared" si="62"/>
        <v>#DIV/0!</v>
      </c>
      <c r="F157" s="1">
        <f t="shared" si="63"/>
        <v>0</v>
      </c>
      <c r="G157" s="1">
        <f t="shared" si="64"/>
        <v>15.95405395469576</v>
      </c>
      <c r="H157" s="1">
        <f t="shared" si="65"/>
        <v>210.57866697775137</v>
      </c>
      <c r="I157" s="1">
        <f t="shared" si="66"/>
        <v>799.5694045294098</v>
      </c>
      <c r="J157" s="1">
        <f t="shared" si="67"/>
        <v>9.017475843259705</v>
      </c>
      <c r="K157" s="1">
        <f t="shared" si="68"/>
        <v>118.73233088251399</v>
      </c>
      <c r="L157" s="1">
        <f t="shared" si="69"/>
        <v>119.0742678641299</v>
      </c>
    </row>
    <row r="158" spans="1:12" ht="12.75">
      <c r="A158" s="1">
        <f t="shared" si="60"/>
        <v>7.79999999999998</v>
      </c>
      <c r="B158" s="1">
        <f t="shared" si="58"/>
        <v>16</v>
      </c>
      <c r="C158" s="1">
        <f t="shared" si="59"/>
        <v>0</v>
      </c>
      <c r="D158" s="1">
        <f t="shared" si="61"/>
        <v>0</v>
      </c>
      <c r="E158" s="1" t="e">
        <f t="shared" si="62"/>
        <v>#DIV/0!</v>
      </c>
      <c r="F158" s="1">
        <f t="shared" si="63"/>
        <v>0</v>
      </c>
      <c r="G158" s="1">
        <f t="shared" si="64"/>
        <v>15.954470235766536</v>
      </c>
      <c r="H158" s="1">
        <f t="shared" si="65"/>
        <v>211.23994853959042</v>
      </c>
      <c r="I158" s="1">
        <f t="shared" si="66"/>
        <v>808.3163272623475</v>
      </c>
      <c r="J158" s="1">
        <f t="shared" si="67"/>
        <v>9.017475843259705</v>
      </c>
      <c r="K158" s="1">
        <f t="shared" si="68"/>
        <v>119.27621908551498</v>
      </c>
      <c r="L158" s="1">
        <f t="shared" si="69"/>
        <v>119.61660131402974</v>
      </c>
    </row>
    <row r="159" spans="1:12" ht="12.75">
      <c r="A159" s="1">
        <f t="shared" si="60"/>
        <v>7.84999999999998</v>
      </c>
      <c r="B159" s="1">
        <f t="shared" si="58"/>
        <v>16</v>
      </c>
      <c r="C159" s="1">
        <f t="shared" si="59"/>
        <v>0</v>
      </c>
      <c r="D159" s="1">
        <f t="shared" si="61"/>
        <v>0</v>
      </c>
      <c r="E159" s="1" t="e">
        <f t="shared" si="62"/>
        <v>#DIV/0!</v>
      </c>
      <c r="F159" s="1">
        <f t="shared" si="63"/>
        <v>0</v>
      </c>
      <c r="G159" s="1">
        <f t="shared" si="64"/>
        <v>15.954880903524359</v>
      </c>
      <c r="H159" s="1">
        <f t="shared" si="65"/>
        <v>211.90123010142946</v>
      </c>
      <c r="I159" s="1">
        <f t="shared" si="66"/>
        <v>817.1031361708747</v>
      </c>
      <c r="J159" s="1">
        <f t="shared" si="67"/>
        <v>9.017475843259705</v>
      </c>
      <c r="K159" s="1">
        <f t="shared" si="68"/>
        <v>119.82012147991611</v>
      </c>
      <c r="L159" s="1">
        <f t="shared" si="69"/>
        <v>120.15896297008237</v>
      </c>
    </row>
    <row r="160" spans="1:12" ht="12.75">
      <c r="A160" s="1">
        <f t="shared" si="60"/>
        <v>7.89999999999998</v>
      </c>
      <c r="B160" s="1">
        <f t="shared" si="58"/>
        <v>16</v>
      </c>
      <c r="C160" s="1">
        <f t="shared" si="59"/>
        <v>0</v>
      </c>
      <c r="D160" s="1">
        <f t="shared" si="61"/>
        <v>0</v>
      </c>
      <c r="E160" s="1" t="e">
        <f t="shared" si="62"/>
        <v>#DIV/0!</v>
      </c>
      <c r="F160" s="1">
        <f t="shared" si="63"/>
        <v>0</v>
      </c>
      <c r="G160" s="1">
        <f t="shared" si="64"/>
        <v>15.955286058110099</v>
      </c>
      <c r="H160" s="1">
        <f t="shared" si="65"/>
        <v>212.5625116632685</v>
      </c>
      <c r="I160" s="1">
        <f t="shared" si="66"/>
        <v>825.9298322816607</v>
      </c>
      <c r="J160" s="1">
        <f t="shared" si="67"/>
        <v>9.017475843259705</v>
      </c>
      <c r="K160" s="1">
        <f t="shared" si="68"/>
        <v>120.36403787435444</v>
      </c>
      <c r="L160" s="1">
        <f t="shared" si="69"/>
        <v>120.70135245308066</v>
      </c>
    </row>
    <row r="161" spans="1:12" ht="12.75">
      <c r="A161" s="1">
        <f t="shared" si="60"/>
        <v>7.94999999999998</v>
      </c>
      <c r="B161" s="1">
        <f t="shared" si="58"/>
        <v>16</v>
      </c>
      <c r="C161" s="1">
        <f t="shared" si="59"/>
        <v>0</v>
      </c>
      <c r="D161" s="1">
        <f t="shared" si="61"/>
        <v>0</v>
      </c>
      <c r="E161" s="1" t="e">
        <f t="shared" si="62"/>
        <v>#DIV/0!</v>
      </c>
      <c r="F161" s="1">
        <f t="shared" si="63"/>
        <v>0</v>
      </c>
      <c r="G161" s="1">
        <f t="shared" si="64"/>
        <v>15.955685797448737</v>
      </c>
      <c r="H161" s="1">
        <f t="shared" si="65"/>
        <v>213.22379322510756</v>
      </c>
      <c r="I161" s="1">
        <f t="shared" si="66"/>
        <v>834.7964166075919</v>
      </c>
      <c r="J161" s="1">
        <f t="shared" si="67"/>
        <v>9.017475843259705</v>
      </c>
      <c r="K161" s="1">
        <f t="shared" si="68"/>
        <v>120.90796808088092</v>
      </c>
      <c r="L161" s="1">
        <f t="shared" si="69"/>
        <v>121.24376939055917</v>
      </c>
    </row>
    <row r="162" spans="1:12" ht="12.75">
      <c r="A162" s="1">
        <f t="shared" si="60"/>
        <v>7.99999999999998</v>
      </c>
      <c r="B162" s="1">
        <f t="shared" si="58"/>
        <v>16</v>
      </c>
      <c r="C162" s="1">
        <f t="shared" si="59"/>
        <v>0</v>
      </c>
      <c r="D162" s="1">
        <f t="shared" si="61"/>
        <v>0</v>
      </c>
      <c r="E162" s="1" t="e">
        <f t="shared" si="62"/>
        <v>#DIV/0!</v>
      </c>
      <c r="F162" s="1">
        <f t="shared" si="63"/>
        <v>0</v>
      </c>
      <c r="G162" s="1">
        <f t="shared" si="64"/>
        <v>15.956080217307758</v>
      </c>
      <c r="H162" s="1">
        <f t="shared" si="65"/>
        <v>213.8850747869466</v>
      </c>
      <c r="I162" s="1">
        <f t="shared" si="66"/>
        <v>843.7028901480169</v>
      </c>
      <c r="J162" s="1">
        <f t="shared" si="67"/>
        <v>9.017475843259705</v>
      </c>
      <c r="K162" s="1">
        <f t="shared" si="68"/>
        <v>121.45191191488486</v>
      </c>
      <c r="L162" s="1">
        <f t="shared" si="69"/>
        <v>121.7862134166455</v>
      </c>
    </row>
    <row r="163" spans="1:12" ht="12.75">
      <c r="A163" s="1">
        <f t="shared" si="60"/>
        <v>8.04999999999998</v>
      </c>
      <c r="B163" s="1">
        <f t="shared" si="58"/>
        <v>16</v>
      </c>
      <c r="C163" s="1">
        <f t="shared" si="59"/>
        <v>0</v>
      </c>
      <c r="D163" s="1">
        <f t="shared" si="61"/>
        <v>0</v>
      </c>
      <c r="E163" s="1" t="e">
        <f t="shared" si="62"/>
        <v>#DIV/0!</v>
      </c>
      <c r="F163" s="1">
        <f t="shared" si="63"/>
        <v>0</v>
      </c>
      <c r="G163" s="1">
        <f t="shared" si="64"/>
        <v>15.956469411353748</v>
      </c>
      <c r="H163" s="1">
        <f t="shared" si="65"/>
        <v>214.54635634878565</v>
      </c>
      <c r="I163" s="1">
        <f t="shared" si="66"/>
        <v>852.6492538889851</v>
      </c>
      <c r="J163" s="1">
        <f t="shared" si="67"/>
        <v>9.017475843259705</v>
      </c>
      <c r="K163" s="1">
        <f t="shared" si="68"/>
        <v>121.99586919502035</v>
      </c>
      <c r="L163" s="1">
        <f t="shared" si="69"/>
        <v>122.32868417191565</v>
      </c>
    </row>
    <row r="164" spans="1:12" ht="12.75">
      <c r="A164" s="1">
        <f t="shared" si="60"/>
        <v>8.09999999999998</v>
      </c>
      <c r="B164" s="1">
        <f t="shared" si="58"/>
        <v>16</v>
      </c>
      <c r="C164" s="1">
        <f t="shared" si="59"/>
        <v>0</v>
      </c>
      <c r="D164" s="1">
        <f t="shared" si="61"/>
        <v>0</v>
      </c>
      <c r="E164" s="1" t="e">
        <f t="shared" si="62"/>
        <v>#DIV/0!</v>
      </c>
      <c r="F164" s="1">
        <f t="shared" si="63"/>
        <v>0</v>
      </c>
      <c r="G164" s="1">
        <f t="shared" si="64"/>
        <v>15.956853471207289</v>
      </c>
      <c r="H164" s="1">
        <f t="shared" si="65"/>
        <v>215.2076379106247</v>
      </c>
      <c r="I164" s="1">
        <f t="shared" si="66"/>
        <v>861.6355088034816</v>
      </c>
      <c r="J164" s="1">
        <f t="shared" si="67"/>
        <v>9.017475843259705</v>
      </c>
      <c r="K164" s="1">
        <f t="shared" si="68"/>
        <v>122.53983974313468</v>
      </c>
      <c r="L164" s="1">
        <f t="shared" si="69"/>
        <v>122.87118130325312</v>
      </c>
    </row>
    <row r="165" spans="1:12" ht="12.75">
      <c r="A165" s="1">
        <f t="shared" si="60"/>
        <v>8.14999999999998</v>
      </c>
      <c r="B165" s="1">
        <f t="shared" si="58"/>
        <v>16</v>
      </c>
      <c r="C165" s="1">
        <f t="shared" si="59"/>
        <v>0</v>
      </c>
      <c r="D165" s="1">
        <f t="shared" si="61"/>
        <v>0</v>
      </c>
      <c r="E165" s="1" t="e">
        <f t="shared" si="62"/>
        <v>#DIV/0!</v>
      </c>
      <c r="F165" s="1">
        <f t="shared" si="63"/>
        <v>0</v>
      </c>
      <c r="G165" s="1">
        <f t="shared" si="64"/>
        <v>15.957232486496173</v>
      </c>
      <c r="H165" s="1">
        <f t="shared" si="65"/>
        <v>215.86891947246374</v>
      </c>
      <c r="I165" s="1">
        <f t="shared" si="66"/>
        <v>870.6616558516562</v>
      </c>
      <c r="J165" s="1">
        <f t="shared" si="67"/>
        <v>9.017475843259705</v>
      </c>
      <c r="K165" s="1">
        <f t="shared" si="68"/>
        <v>123.08382338419857</v>
      </c>
      <c r="L165" s="1">
        <f t="shared" si="69"/>
        <v>123.41370446371164</v>
      </c>
    </row>
    <row r="166" spans="1:12" ht="12.75">
      <c r="A166" s="1">
        <f t="shared" si="60"/>
        <v>8.199999999999982</v>
      </c>
      <c r="B166" s="1">
        <f t="shared" si="58"/>
        <v>16</v>
      </c>
      <c r="C166" s="1">
        <f t="shared" si="59"/>
        <v>0</v>
      </c>
      <c r="D166" s="1">
        <f t="shared" si="61"/>
        <v>0</v>
      </c>
      <c r="E166" s="1" t="e">
        <f t="shared" si="62"/>
        <v>#DIV/0!</v>
      </c>
      <c r="F166" s="1">
        <f t="shared" si="63"/>
        <v>0</v>
      </c>
      <c r="G166" s="1">
        <f t="shared" si="64"/>
        <v>15.95760654490703</v>
      </c>
      <c r="H166" s="1">
        <f t="shared" si="65"/>
        <v>216.5302010343028</v>
      </c>
      <c r="I166" s="1">
        <f t="shared" si="66"/>
        <v>879.727695981047</v>
      </c>
      <c r="J166" s="1">
        <f t="shared" si="67"/>
        <v>9.017475843259705</v>
      </c>
      <c r="K166" s="1">
        <f t="shared" si="68"/>
        <v>123.6278199462382</v>
      </c>
      <c r="L166" s="1">
        <f t="shared" si="69"/>
        <v>123.9562533123814</v>
      </c>
    </row>
    <row r="167" spans="1:12" ht="12.75">
      <c r="A167" s="1">
        <f t="shared" si="60"/>
        <v>8.249999999999982</v>
      </c>
      <c r="B167" s="1">
        <f t="shared" si="58"/>
        <v>16</v>
      </c>
      <c r="C167" s="1">
        <f t="shared" si="59"/>
        <v>0</v>
      </c>
      <c r="D167" s="1">
        <f t="shared" si="61"/>
        <v>0</v>
      </c>
      <c r="E167" s="1" t="e">
        <f t="shared" si="62"/>
        <v>#DIV/0!</v>
      </c>
      <c r="F167" s="1">
        <f t="shared" si="63"/>
        <v>0</v>
      </c>
      <c r="G167" s="1">
        <f t="shared" si="64"/>
        <v>15.957975732235408</v>
      </c>
      <c r="H167" s="1">
        <f t="shared" si="65"/>
        <v>217.19148259614184</v>
      </c>
      <c r="I167" s="1">
        <f t="shared" si="66"/>
        <v>888.8336301268</v>
      </c>
      <c r="J167" s="1">
        <f t="shared" si="67"/>
        <v>9.017475843259705</v>
      </c>
      <c r="K167" s="1">
        <f t="shared" si="68"/>
        <v>124.17182926026912</v>
      </c>
      <c r="L167" s="1">
        <f t="shared" si="69"/>
        <v>124.49882751425893</v>
      </c>
    </row>
    <row r="168" spans="1:12" ht="12.75">
      <c r="A168" s="1">
        <f t="shared" si="60"/>
        <v>8.299999999999983</v>
      </c>
      <c r="B168" s="1">
        <f t="shared" si="58"/>
        <v>16</v>
      </c>
      <c r="C168" s="1">
        <f t="shared" si="59"/>
        <v>0</v>
      </c>
      <c r="D168" s="1">
        <f t="shared" si="61"/>
        <v>0</v>
      </c>
      <c r="E168" s="1" t="e">
        <f t="shared" si="62"/>
        <v>#DIV/0!</v>
      </c>
      <c r="F168" s="1">
        <f t="shared" si="63"/>
        <v>0</v>
      </c>
      <c r="G168" s="1">
        <f t="shared" si="64"/>
        <v>15.958340132434333</v>
      </c>
      <c r="H168" s="1">
        <f t="shared" si="65"/>
        <v>217.85276415798089</v>
      </c>
      <c r="I168" s="1">
        <f t="shared" si="66"/>
        <v>897.9794592118836</v>
      </c>
      <c r="J168" s="1">
        <f t="shared" si="67"/>
        <v>9.017475843259705</v>
      </c>
      <c r="K168" s="1">
        <f t="shared" si="68"/>
        <v>124.7158511602317</v>
      </c>
      <c r="L168" s="1">
        <f t="shared" si="69"/>
        <v>125.04142674012016</v>
      </c>
    </row>
    <row r="169" spans="1:12" ht="12.75">
      <c r="A169" s="1">
        <f t="shared" si="60"/>
        <v>8.349999999999984</v>
      </c>
      <c r="B169" s="1">
        <f t="shared" si="58"/>
        <v>16</v>
      </c>
      <c r="C169" s="1">
        <f t="shared" si="59"/>
        <v>0</v>
      </c>
      <c r="D169" s="1">
        <f t="shared" si="61"/>
        <v>0</v>
      </c>
      <c r="E169" s="1" t="e">
        <f t="shared" si="62"/>
        <v>#DIV/0!</v>
      </c>
      <c r="F169" s="1">
        <f t="shared" si="63"/>
        <v>0</v>
      </c>
      <c r="G169" s="1">
        <f t="shared" si="64"/>
        <v>15.958699827661462</v>
      </c>
      <c r="H169" s="1">
        <f t="shared" si="65"/>
        <v>218.51404571981993</v>
      </c>
      <c r="I169" s="1">
        <f t="shared" si="66"/>
        <v>907.1651841472984</v>
      </c>
      <c r="J169" s="1">
        <f t="shared" si="67"/>
        <v>9.017475843259705</v>
      </c>
      <c r="K169" s="1">
        <f t="shared" si="68"/>
        <v>125.25988548292833</v>
      </c>
      <c r="L169" s="1">
        <f t="shared" si="69"/>
        <v>125.58405066639669</v>
      </c>
    </row>
    <row r="170" spans="1:12" ht="12.75">
      <c r="A170" s="1">
        <f t="shared" si="60"/>
        <v>8.399999999999984</v>
      </c>
      <c r="B170" s="1">
        <f t="shared" si="58"/>
        <v>16</v>
      </c>
      <c r="C170" s="1">
        <f t="shared" si="59"/>
        <v>0</v>
      </c>
      <c r="D170" s="1">
        <f t="shared" si="61"/>
        <v>0</v>
      </c>
      <c r="E170" s="1" t="e">
        <f t="shared" si="62"/>
        <v>#DIV/0!</v>
      </c>
      <c r="F170" s="1">
        <f t="shared" si="63"/>
        <v>0</v>
      </c>
      <c r="G170" s="1">
        <f t="shared" si="64"/>
        <v>15.95905489832481</v>
      </c>
      <c r="H170" s="1">
        <f t="shared" si="65"/>
        <v>219.17532728165898</v>
      </c>
      <c r="I170" s="1">
        <f t="shared" si="66"/>
        <v>916.3908058322824</v>
      </c>
      <c r="J170" s="1">
        <f t="shared" si="67"/>
        <v>9.017475843259705</v>
      </c>
      <c r="K170" s="1">
        <f t="shared" si="68"/>
        <v>125.80393206796224</v>
      </c>
      <c r="L170" s="1">
        <f t="shared" si="69"/>
        <v>126.12669897505535</v>
      </c>
    </row>
    <row r="171" spans="1:12" ht="12.75">
      <c r="A171" s="1">
        <f t="shared" si="60"/>
        <v>8.449999999999985</v>
      </c>
      <c r="B171" s="1">
        <f t="shared" si="58"/>
        <v>16</v>
      </c>
      <c r="C171" s="1">
        <f t="shared" si="59"/>
        <v>0</v>
      </c>
      <c r="D171" s="1">
        <f t="shared" si="61"/>
        <v>0</v>
      </c>
      <c r="E171" s="1" t="e">
        <f t="shared" si="62"/>
        <v>#DIV/0!</v>
      </c>
      <c r="F171" s="1">
        <f t="shared" si="63"/>
        <v>0</v>
      </c>
      <c r="G171" s="1">
        <f t="shared" si="64"/>
        <v>15.95940542312713</v>
      </c>
      <c r="H171" s="1">
        <f t="shared" si="65"/>
        <v>219.83660884349803</v>
      </c>
      <c r="I171" s="1">
        <f t="shared" si="66"/>
        <v>925.656325154512</v>
      </c>
      <c r="J171" s="1">
        <f t="shared" si="67"/>
        <v>9.017475843259705</v>
      </c>
      <c r="K171" s="1">
        <f t="shared" si="68"/>
        <v>126.34799075767785</v>
      </c>
      <c r="L171" s="1">
        <f t="shared" si="69"/>
        <v>126.66937135348078</v>
      </c>
    </row>
    <row r="172" spans="1:12" ht="12.75">
      <c r="A172" s="1">
        <f t="shared" si="60"/>
        <v>8.499999999999986</v>
      </c>
      <c r="B172" s="1">
        <f t="shared" si="58"/>
        <v>16</v>
      </c>
      <c r="C172" s="1">
        <f t="shared" si="59"/>
        <v>0</v>
      </c>
      <c r="D172" s="1">
        <f t="shared" si="61"/>
        <v>0</v>
      </c>
      <c r="E172" s="1" t="e">
        <f t="shared" si="62"/>
        <v>#DIV/0!</v>
      </c>
      <c r="F172" s="1">
        <f t="shared" si="63"/>
        <v>0</v>
      </c>
      <c r="G172" s="1">
        <f t="shared" si="64"/>
        <v>15.959751479109013</v>
      </c>
      <c r="H172" s="1">
        <f t="shared" si="65"/>
        <v>220.49789040533707</v>
      </c>
      <c r="I172" s="1">
        <f t="shared" si="66"/>
        <v>934.9617429902996</v>
      </c>
      <c r="J172" s="1">
        <f t="shared" si="67"/>
        <v>9.017475843259705</v>
      </c>
      <c r="K172" s="1">
        <f t="shared" si="68"/>
        <v>126.89206139710264</v>
      </c>
      <c r="L172" s="1">
        <f t="shared" si="69"/>
        <v>127.21206749436092</v>
      </c>
    </row>
    <row r="173" spans="1:12" ht="12.75">
      <c r="A173" s="1">
        <f t="shared" si="60"/>
        <v>8.549999999999986</v>
      </c>
      <c r="B173" s="1">
        <f t="shared" si="58"/>
        <v>16</v>
      </c>
      <c r="C173" s="1">
        <f t="shared" si="59"/>
        <v>0</v>
      </c>
      <c r="D173" s="1">
        <f t="shared" si="61"/>
        <v>0</v>
      </c>
      <c r="E173" s="1" t="e">
        <f t="shared" si="62"/>
        <v>#DIV/0!</v>
      </c>
      <c r="F173" s="1">
        <f t="shared" si="63"/>
        <v>0</v>
      </c>
      <c r="G173" s="1">
        <f t="shared" si="64"/>
        <v>15.960093141690697</v>
      </c>
      <c r="H173" s="1">
        <f t="shared" si="65"/>
        <v>221.15917196717612</v>
      </c>
      <c r="I173" s="1">
        <f t="shared" si="66"/>
        <v>944.3070602047849</v>
      </c>
      <c r="J173" s="1">
        <f t="shared" si="67"/>
        <v>9.017475843259705</v>
      </c>
      <c r="K173" s="1">
        <f t="shared" si="68"/>
        <v>127.43614383389044</v>
      </c>
      <c r="L173" s="1">
        <f t="shared" si="69"/>
        <v>127.75478709557534</v>
      </c>
    </row>
    <row r="174" spans="1:12" ht="12.75">
      <c r="A174" s="1">
        <f t="shared" si="60"/>
        <v>8.599999999999987</v>
      </c>
      <c r="B174" s="1">
        <f t="shared" si="58"/>
        <v>16</v>
      </c>
      <c r="C174" s="1">
        <f t="shared" si="59"/>
        <v>0</v>
      </c>
      <c r="D174" s="1">
        <f t="shared" si="61"/>
        <v>0</v>
      </c>
      <c r="E174" s="1" t="e">
        <f t="shared" si="62"/>
        <v>#DIV/0!</v>
      </c>
      <c r="F174" s="1">
        <f t="shared" si="63"/>
        <v>0</v>
      </c>
      <c r="G174" s="1">
        <f t="shared" si="64"/>
        <v>15.960430484712672</v>
      </c>
      <c r="H174" s="1">
        <f t="shared" si="65"/>
        <v>221.82045352901517</v>
      </c>
      <c r="I174" s="1">
        <f t="shared" si="66"/>
        <v>953.6922776521244</v>
      </c>
      <c r="J174" s="1">
        <f t="shared" si="67"/>
        <v>9.017475843259705</v>
      </c>
      <c r="K174" s="1">
        <f t="shared" si="68"/>
        <v>127.98023791826625</v>
      </c>
      <c r="L174" s="1">
        <f t="shared" si="69"/>
        <v>128.29752986008657</v>
      </c>
    </row>
    <row r="175" spans="1:12" ht="12.75">
      <c r="A175" s="1">
        <f t="shared" si="60"/>
        <v>8.649999999999988</v>
      </c>
      <c r="B175" s="1">
        <f t="shared" si="58"/>
        <v>16</v>
      </c>
      <c r="C175" s="1">
        <f t="shared" si="59"/>
        <v>0</v>
      </c>
      <c r="D175" s="1">
        <f t="shared" si="61"/>
        <v>0</v>
      </c>
      <c r="E175" s="1" t="e">
        <f t="shared" si="62"/>
        <v>#DIV/0!</v>
      </c>
      <c r="F175" s="1">
        <f t="shared" si="63"/>
        <v>0</v>
      </c>
      <c r="G175" s="1">
        <f t="shared" si="64"/>
        <v>15.96076358047511</v>
      </c>
      <c r="H175" s="1">
        <f t="shared" si="65"/>
        <v>222.48173509085422</v>
      </c>
      <c r="I175" s="1">
        <f t="shared" si="66"/>
        <v>963.1173961756757</v>
      </c>
      <c r="J175" s="1">
        <f t="shared" si="67"/>
        <v>9.017475843259705</v>
      </c>
      <c r="K175" s="1">
        <f t="shared" si="68"/>
        <v>128.52434350297236</v>
      </c>
      <c r="L175" s="1">
        <f t="shared" si="69"/>
        <v>128.84029549583394</v>
      </c>
    </row>
    <row r="176" spans="1:12" ht="12.75">
      <c r="A176" s="1">
        <f t="shared" si="60"/>
        <v>8.699999999999989</v>
      </c>
      <c r="B176" s="1">
        <f t="shared" si="58"/>
        <v>16</v>
      </c>
      <c r="C176" s="1">
        <f t="shared" si="59"/>
        <v>0</v>
      </c>
      <c r="D176" s="1">
        <f t="shared" si="61"/>
        <v>0</v>
      </c>
      <c r="E176" s="1" t="e">
        <f t="shared" si="62"/>
        <v>#DIV/0!</v>
      </c>
      <c r="F176" s="1">
        <f t="shared" si="63"/>
        <v>0</v>
      </c>
      <c r="G176" s="1">
        <f t="shared" si="64"/>
        <v>15.961092499776152</v>
      </c>
      <c r="H176" s="1">
        <f t="shared" si="65"/>
        <v>223.14301665269326</v>
      </c>
      <c r="I176" s="1">
        <f t="shared" si="66"/>
        <v>972.5824166081782</v>
      </c>
      <c r="J176" s="1">
        <f t="shared" si="67"/>
        <v>9.017475843259705</v>
      </c>
      <c r="K176" s="1">
        <f t="shared" si="68"/>
        <v>129.06846044321583</v>
      </c>
      <c r="L176" s="1">
        <f t="shared" si="69"/>
        <v>129.38308371563008</v>
      </c>
    </row>
    <row r="177" spans="1:12" ht="12.75">
      <c r="A177" s="1">
        <f t="shared" si="60"/>
        <v>8.74999999999999</v>
      </c>
      <c r="B177" s="1">
        <f t="shared" si="58"/>
        <v>16</v>
      </c>
      <c r="C177" s="1">
        <f t="shared" si="59"/>
        <v>0</v>
      </c>
      <c r="D177" s="1">
        <f t="shared" si="61"/>
        <v>0</v>
      </c>
      <c r="E177" s="1" t="e">
        <f t="shared" si="62"/>
        <v>#DIV/0!</v>
      </c>
      <c r="F177" s="1">
        <f t="shared" si="63"/>
        <v>0</v>
      </c>
      <c r="G177" s="1">
        <f t="shared" si="64"/>
        <v>15.961417311949077</v>
      </c>
      <c r="H177" s="1">
        <f t="shared" si="65"/>
        <v>223.8042982145323</v>
      </c>
      <c r="I177" s="1">
        <f t="shared" si="66"/>
        <v>982.0873397719301</v>
      </c>
      <c r="J177" s="1">
        <f t="shared" si="67"/>
        <v>9.017475843259705</v>
      </c>
      <c r="K177" s="1">
        <f t="shared" si="68"/>
        <v>129.6125885966173</v>
      </c>
      <c r="L177" s="1">
        <f t="shared" si="69"/>
        <v>129.92589423706013</v>
      </c>
    </row>
    <row r="178" spans="1:12" ht="12.75">
      <c r="A178" s="1">
        <f t="shared" si="60"/>
        <v>8.79999999999999</v>
      </c>
      <c r="B178" s="1">
        <f t="shared" si="58"/>
        <v>16</v>
      </c>
      <c r="C178" s="1">
        <f t="shared" si="59"/>
        <v>0</v>
      </c>
      <c r="D178" s="1">
        <f t="shared" si="61"/>
        <v>0</v>
      </c>
      <c r="E178" s="1" t="e">
        <f t="shared" si="62"/>
        <v>#DIV/0!</v>
      </c>
      <c r="F178" s="1">
        <f t="shared" si="63"/>
        <v>0</v>
      </c>
      <c r="G178" s="1">
        <f t="shared" si="64"/>
        <v>15.961738084898434</v>
      </c>
      <c r="H178" s="1">
        <f t="shared" si="65"/>
        <v>224.46557977637136</v>
      </c>
      <c r="I178" s="1">
        <f t="shared" si="66"/>
        <v>991.632166478962</v>
      </c>
      <c r="J178" s="1">
        <f t="shared" si="67"/>
        <v>9.017475843259705</v>
      </c>
      <c r="K178" s="1">
        <f t="shared" si="68"/>
        <v>130.156727823161</v>
      </c>
      <c r="L178" s="1">
        <f t="shared" si="69"/>
        <v>130.4687267823833</v>
      </c>
    </row>
    <row r="179" spans="1:12" ht="12.75">
      <c r="A179" s="1">
        <f t="shared" si="60"/>
        <v>8.84999999999999</v>
      </c>
      <c r="B179" s="1">
        <f t="shared" si="58"/>
        <v>16</v>
      </c>
      <c r="C179" s="1">
        <f t="shared" si="59"/>
        <v>0</v>
      </c>
      <c r="D179" s="1">
        <f t="shared" si="61"/>
        <v>0</v>
      </c>
      <c r="E179" s="1" t="e">
        <f t="shared" si="62"/>
        <v>#DIV/0!</v>
      </c>
      <c r="F179" s="1">
        <f t="shared" si="63"/>
        <v>0</v>
      </c>
      <c r="G179" s="1">
        <f t="shared" si="64"/>
        <v>15.962054885135114</v>
      </c>
      <c r="H179" s="1">
        <f t="shared" si="65"/>
        <v>225.1268613382104</v>
      </c>
      <c r="I179" s="1">
        <f t="shared" si="66"/>
        <v>1001.216897531206</v>
      </c>
      <c r="J179" s="1">
        <f t="shared" si="67"/>
        <v>9.017475843259705</v>
      </c>
      <c r="K179" s="1">
        <f t="shared" si="68"/>
        <v>130.70087798514618</v>
      </c>
      <c r="L179" s="1">
        <f t="shared" si="69"/>
        <v>131.0115810784369</v>
      </c>
    </row>
    <row r="180" spans="1:12" ht="12.75">
      <c r="A180" s="1">
        <f t="shared" si="60"/>
        <v>8.899999999999991</v>
      </c>
      <c r="B180" s="1">
        <f t="shared" si="58"/>
        <v>16</v>
      </c>
      <c r="C180" s="1">
        <f t="shared" si="59"/>
        <v>0</v>
      </c>
      <c r="D180" s="1">
        <f t="shared" si="61"/>
        <v>0</v>
      </c>
      <c r="E180" s="1" t="e">
        <f t="shared" si="62"/>
        <v>#DIV/0!</v>
      </c>
      <c r="F180" s="1">
        <f t="shared" si="63"/>
        <v>0</v>
      </c>
      <c r="G180" s="1">
        <f t="shared" si="64"/>
        <v>15.962367777810455</v>
      </c>
      <c r="H180" s="1">
        <f t="shared" si="65"/>
        <v>225.78814290004945</v>
      </c>
      <c r="I180" s="1">
        <f t="shared" si="66"/>
        <v>1010.8415337206628</v>
      </c>
      <c r="J180" s="1">
        <f t="shared" si="67"/>
        <v>9.017475843259705</v>
      </c>
      <c r="K180" s="1">
        <f t="shared" si="68"/>
        <v>131.24503894713942</v>
      </c>
      <c r="L180" s="1">
        <f t="shared" si="69"/>
        <v>131.55445685654257</v>
      </c>
    </row>
    <row r="181" spans="1:12" ht="12.75">
      <c r="A181" s="1">
        <f t="shared" si="60"/>
        <v>8.949999999999992</v>
      </c>
      <c r="B181" s="1">
        <f t="shared" si="58"/>
        <v>16</v>
      </c>
      <c r="C181" s="1">
        <f t="shared" si="59"/>
        <v>0</v>
      </c>
      <c r="D181" s="1">
        <f t="shared" si="61"/>
        <v>0</v>
      </c>
      <c r="E181" s="1" t="e">
        <f t="shared" si="62"/>
        <v>#DIV/0!</v>
      </c>
      <c r="F181" s="1">
        <f t="shared" si="63"/>
        <v>0</v>
      </c>
      <c r="G181" s="1">
        <f t="shared" si="64"/>
        <v>15.962676826749338</v>
      </c>
      <c r="H181" s="1">
        <f t="shared" si="65"/>
        <v>226.4494244618885</v>
      </c>
      <c r="I181" s="1">
        <f t="shared" si="66"/>
        <v>1020.5060758295642</v>
      </c>
      <c r="J181" s="1">
        <f t="shared" si="67"/>
        <v>9.017475843259705</v>
      </c>
      <c r="K181" s="1">
        <f t="shared" si="68"/>
        <v>131.78921057592842</v>
      </c>
      <c r="L181" s="1">
        <f t="shared" si="69"/>
        <v>132.09735385241515</v>
      </c>
    </row>
    <row r="182" spans="1:12" ht="12.75">
      <c r="A182" s="1">
        <f t="shared" si="60"/>
        <v>8.999999999999993</v>
      </c>
      <c r="B182" s="1">
        <f t="shared" si="58"/>
        <v>16</v>
      </c>
      <c r="C182" s="1">
        <f t="shared" si="59"/>
        <v>0</v>
      </c>
      <c r="D182" s="1">
        <f t="shared" si="61"/>
        <v>0</v>
      </c>
      <c r="E182" s="1" t="e">
        <f t="shared" si="62"/>
        <v>#DIV/0!</v>
      </c>
      <c r="F182" s="1">
        <f t="shared" si="63"/>
        <v>0</v>
      </c>
      <c r="G182" s="1">
        <f t="shared" si="64"/>
        <v>15.962982094482392</v>
      </c>
      <c r="H182" s="1">
        <f t="shared" si="65"/>
        <v>227.11070602372754</v>
      </c>
      <c r="I182" s="1">
        <f t="shared" si="66"/>
        <v>1030.2105246305325</v>
      </c>
      <c r="J182" s="1">
        <f t="shared" si="67"/>
        <v>9.017475843259705</v>
      </c>
      <c r="K182" s="1">
        <f t="shared" si="68"/>
        <v>132.33339274047668</v>
      </c>
      <c r="L182" s="1">
        <f t="shared" si="69"/>
        <v>132.64027180607337</v>
      </c>
    </row>
    <row r="183" spans="1:12" ht="12.75">
      <c r="A183" s="1">
        <f t="shared" si="60"/>
        <v>9.049999999999994</v>
      </c>
      <c r="B183" s="1">
        <f t="shared" si="58"/>
        <v>16</v>
      </c>
      <c r="C183" s="1">
        <f t="shared" si="59"/>
        <v>0</v>
      </c>
      <c r="D183" s="1">
        <f t="shared" si="61"/>
        <v>0</v>
      </c>
      <c r="E183" s="1" t="e">
        <f t="shared" si="62"/>
        <v>#DIV/0!</v>
      </c>
      <c r="F183" s="1">
        <f t="shared" si="63"/>
        <v>0</v>
      </c>
      <c r="G183" s="1">
        <f t="shared" si="64"/>
        <v>15.963283642277267</v>
      </c>
      <c r="H183" s="1">
        <f t="shared" si="65"/>
        <v>227.7719875855666</v>
      </c>
      <c r="I183" s="1">
        <f t="shared" si="66"/>
        <v>1039.954880886737</v>
      </c>
      <c r="J183" s="1">
        <f t="shared" si="67"/>
        <v>9.017475843259705</v>
      </c>
      <c r="K183" s="1">
        <f t="shared" si="68"/>
        <v>132.8775853118795</v>
      </c>
      <c r="L183" s="1">
        <f t="shared" si="69"/>
        <v>133.183210461753</v>
      </c>
    </row>
    <row r="184" spans="1:12" ht="12.75">
      <c r="A184" s="1">
        <f t="shared" si="60"/>
        <v>9.099999999999994</v>
      </c>
      <c r="B184" s="1">
        <f t="shared" si="58"/>
        <v>16</v>
      </c>
      <c r="C184" s="1">
        <f t="shared" si="59"/>
        <v>0</v>
      </c>
      <c r="D184" s="1">
        <f t="shared" si="61"/>
        <v>0</v>
      </c>
      <c r="E184" s="1" t="e">
        <f t="shared" si="62"/>
        <v>#DIV/0!</v>
      </c>
      <c r="F184" s="1">
        <f t="shared" si="63"/>
        <v>0</v>
      </c>
      <c r="G184" s="1">
        <f t="shared" si="64"/>
        <v>15.963581530169039</v>
      </c>
      <c r="H184" s="1">
        <f t="shared" si="65"/>
        <v>228.43326914740564</v>
      </c>
      <c r="I184" s="1">
        <f t="shared" si="66"/>
        <v>1049.7391453520472</v>
      </c>
      <c r="J184" s="1">
        <f t="shared" si="67"/>
        <v>9.017475843259705</v>
      </c>
      <c r="K184" s="1">
        <f t="shared" si="68"/>
        <v>133.42178816332077</v>
      </c>
      <c r="L184" s="1">
        <f t="shared" si="69"/>
        <v>133.72616956782176</v>
      </c>
    </row>
    <row r="185" spans="1:12" ht="12.75">
      <c r="A185" s="1">
        <f t="shared" si="60"/>
        <v>9.149999999999995</v>
      </c>
      <c r="B185" s="1">
        <f t="shared" si="58"/>
        <v>16</v>
      </c>
      <c r="C185" s="1">
        <f t="shared" si="59"/>
        <v>0</v>
      </c>
      <c r="D185" s="1">
        <f t="shared" si="61"/>
        <v>0</v>
      </c>
      <c r="E185" s="1" t="e">
        <f t="shared" si="62"/>
        <v>#DIV/0!</v>
      </c>
      <c r="F185" s="1">
        <f t="shared" si="63"/>
        <v>0</v>
      </c>
      <c r="G185" s="1">
        <f t="shared" si="64"/>
        <v>15.963875816989768</v>
      </c>
      <c r="H185" s="1">
        <f t="shared" si="65"/>
        <v>229.0945507092447</v>
      </c>
      <c r="I185" s="1">
        <f t="shared" si="66"/>
        <v>1059.5633187711828</v>
      </c>
      <c r="J185" s="1">
        <f t="shared" si="67"/>
        <v>9.017475843259705</v>
      </c>
      <c r="K185" s="1">
        <f t="shared" si="68"/>
        <v>133.9660011700311</v>
      </c>
      <c r="L185" s="1">
        <f t="shared" si="69"/>
        <v>134.2691488766967</v>
      </c>
    </row>
    <row r="186" spans="1:12" ht="12.75">
      <c r="A186" s="1">
        <f t="shared" si="60"/>
        <v>9.199999999999996</v>
      </c>
      <c r="B186" s="1">
        <f t="shared" si="58"/>
        <v>16</v>
      </c>
      <c r="C186" s="1">
        <f t="shared" si="59"/>
        <v>0</v>
      </c>
      <c r="D186" s="1">
        <f t="shared" si="61"/>
        <v>0</v>
      </c>
      <c r="E186" s="1" t="e">
        <f t="shared" si="62"/>
        <v>#DIV/0!</v>
      </c>
      <c r="F186" s="1">
        <f t="shared" si="63"/>
        <v>0</v>
      </c>
      <c r="G186" s="1">
        <f t="shared" si="64"/>
        <v>15.964166560397235</v>
      </c>
      <c r="H186" s="1">
        <f t="shared" si="65"/>
        <v>229.75583227108373</v>
      </c>
      <c r="I186" s="1">
        <f t="shared" si="66"/>
        <v>1069.427401879861</v>
      </c>
      <c r="J186" s="1">
        <f t="shared" si="67"/>
        <v>9.017475843259705</v>
      </c>
      <c r="K186" s="1">
        <f t="shared" si="68"/>
        <v>134.51022420924664</v>
      </c>
      <c r="L186" s="1">
        <f t="shared" si="69"/>
        <v>134.81214814476317</v>
      </c>
    </row>
    <row r="187" spans="1:12" ht="12.75">
      <c r="A187" s="1">
        <f t="shared" si="60"/>
        <v>9.249999999999996</v>
      </c>
      <c r="B187" s="1">
        <f t="shared" si="58"/>
        <v>16</v>
      </c>
      <c r="C187" s="1">
        <f t="shared" si="59"/>
        <v>0</v>
      </c>
      <c r="D187" s="1">
        <f t="shared" si="61"/>
        <v>0</v>
      </c>
      <c r="E187" s="1" t="e">
        <f t="shared" si="62"/>
        <v>#DIV/0!</v>
      </c>
      <c r="F187" s="1">
        <f t="shared" si="63"/>
        <v>0</v>
      </c>
      <c r="G187" s="1">
        <f t="shared" si="64"/>
        <v>15.964453816902873</v>
      </c>
      <c r="H187" s="1">
        <f t="shared" si="65"/>
        <v>230.41711383292278</v>
      </c>
      <c r="I187" s="1">
        <f t="shared" si="66"/>
        <v>1079.3313954049402</v>
      </c>
      <c r="J187" s="1">
        <f t="shared" si="67"/>
        <v>9.017475843259705</v>
      </c>
      <c r="K187" s="1">
        <f t="shared" si="68"/>
        <v>135.05445716016928</v>
      </c>
      <c r="L187" s="1">
        <f t="shared" si="69"/>
        <v>135.35516713229595</v>
      </c>
    </row>
    <row r="188" spans="1:12" ht="12.75">
      <c r="A188" s="1">
        <f t="shared" si="60"/>
        <v>9.299999999999997</v>
      </c>
      <c r="B188" s="1">
        <f t="shared" si="58"/>
        <v>16</v>
      </c>
      <c r="C188" s="1">
        <f t="shared" si="59"/>
        <v>0</v>
      </c>
      <c r="D188" s="1">
        <f t="shared" si="61"/>
        <v>0</v>
      </c>
      <c r="E188" s="1" t="e">
        <f t="shared" si="62"/>
        <v>#DIV/0!</v>
      </c>
      <c r="F188" s="1">
        <f t="shared" si="63"/>
        <v>0</v>
      </c>
      <c r="G188" s="1">
        <f t="shared" si="64"/>
        <v>15.96473764189895</v>
      </c>
      <c r="H188" s="1">
        <f t="shared" si="65"/>
        <v>231.07839539476183</v>
      </c>
      <c r="I188" s="1">
        <f t="shared" si="66"/>
        <v>1089.2753000645614</v>
      </c>
      <c r="J188" s="1">
        <f t="shared" si="67"/>
        <v>9.017475843259705</v>
      </c>
      <c r="K188" s="1">
        <f t="shared" si="68"/>
        <v>135.59869990392733</v>
      </c>
      <c r="L188" s="1">
        <f t="shared" si="69"/>
        <v>135.8982056033821</v>
      </c>
    </row>
    <row r="189" spans="1:12" ht="12.75">
      <c r="A189" s="1">
        <f t="shared" si="60"/>
        <v>9.349999999999998</v>
      </c>
      <c r="B189" s="1">
        <f t="shared" si="58"/>
        <v>16</v>
      </c>
      <c r="C189" s="1">
        <f t="shared" si="59"/>
        <v>0</v>
      </c>
      <c r="D189" s="1">
        <f t="shared" si="61"/>
        <v>0</v>
      </c>
      <c r="E189" s="1" t="e">
        <f t="shared" si="62"/>
        <v>#DIV/0!</v>
      </c>
      <c r="F189" s="1">
        <f t="shared" si="63"/>
        <v>0</v>
      </c>
      <c r="G189" s="1">
        <f t="shared" si="64"/>
        <v>15.965018089684985</v>
      </c>
      <c r="H189" s="1">
        <f t="shared" si="65"/>
        <v>231.73967695660087</v>
      </c>
      <c r="I189" s="1">
        <f t="shared" si="66"/>
        <v>1099.2591165682875</v>
      </c>
      <c r="J189" s="1">
        <f t="shared" si="67"/>
        <v>9.017475843259705</v>
      </c>
      <c r="K189" s="1">
        <f t="shared" si="68"/>
        <v>136.14295232353751</v>
      </c>
      <c r="L189" s="1">
        <f t="shared" si="69"/>
        <v>136.44126332584577</v>
      </c>
    </row>
    <row r="190" spans="1:12" ht="12.75">
      <c r="A190" s="1">
        <f t="shared" si="60"/>
        <v>9.399999999999999</v>
      </c>
      <c r="B190" s="1">
        <f t="shared" si="58"/>
        <v>16</v>
      </c>
      <c r="C190" s="1">
        <f t="shared" si="59"/>
        <v>0</v>
      </c>
      <c r="D190" s="1">
        <f t="shared" si="61"/>
        <v>0</v>
      </c>
      <c r="E190" s="1" t="e">
        <f t="shared" si="62"/>
        <v>#DIV/0!</v>
      </c>
      <c r="F190" s="1">
        <f t="shared" si="63"/>
        <v>0</v>
      </c>
      <c r="G190" s="1">
        <f t="shared" si="64"/>
        <v>15.965295213493444</v>
      </c>
      <c r="H190" s="1">
        <f t="shared" si="65"/>
        <v>232.40095851843992</v>
      </c>
      <c r="I190" s="1">
        <f t="shared" si="66"/>
        <v>1109.2828456172379</v>
      </c>
      <c r="J190" s="1">
        <f t="shared" si="67"/>
        <v>9.017475843259705</v>
      </c>
      <c r="K190" s="1">
        <f t="shared" si="68"/>
        <v>136.68721430386768</v>
      </c>
      <c r="L190" s="1">
        <f t="shared" si="69"/>
        <v>136.98434007117464</v>
      </c>
    </row>
    <row r="191" spans="1:12" ht="12.75">
      <c r="A191" s="1">
        <f t="shared" si="60"/>
        <v>9.45</v>
      </c>
      <c r="B191" s="1">
        <f t="shared" si="58"/>
        <v>16</v>
      </c>
      <c r="C191" s="1">
        <f t="shared" si="59"/>
        <v>0</v>
      </c>
      <c r="D191" s="1">
        <f t="shared" si="61"/>
        <v>0</v>
      </c>
      <c r="E191" s="1" t="e">
        <f t="shared" si="62"/>
        <v>#DIV/0!</v>
      </c>
      <c r="F191" s="1">
        <f t="shared" si="63"/>
        <v>0</v>
      </c>
      <c r="G191" s="1">
        <f t="shared" si="64"/>
        <v>15.965569065514746</v>
      </c>
      <c r="H191" s="1">
        <f t="shared" si="65"/>
        <v>233.06224008027897</v>
      </c>
      <c r="I191" s="1">
        <f t="shared" si="66"/>
        <v>1119.346487904222</v>
      </c>
      <c r="J191" s="1">
        <f t="shared" si="67"/>
        <v>9.017475843259705</v>
      </c>
      <c r="K191" s="1">
        <f t="shared" si="68"/>
        <v>137.2314857316004</v>
      </c>
      <c r="L191" s="1">
        <f t="shared" si="69"/>
        <v>137.52743561444828</v>
      </c>
    </row>
    <row r="192" spans="1:12" ht="12.75">
      <c r="A192" s="1">
        <f t="shared" si="60"/>
        <v>9.5</v>
      </c>
      <c r="B192" s="1">
        <f t="shared" si="58"/>
        <v>16</v>
      </c>
      <c r="C192" s="1">
        <f t="shared" si="59"/>
        <v>0</v>
      </c>
      <c r="D192" s="1">
        <f t="shared" si="61"/>
        <v>0</v>
      </c>
      <c r="E192" s="1" t="e">
        <f t="shared" si="62"/>
        <v>#DIV/0!</v>
      </c>
      <c r="F192" s="1">
        <f t="shared" si="63"/>
        <v>0</v>
      </c>
      <c r="G192" s="1">
        <f t="shared" si="64"/>
        <v>15.965839696921575</v>
      </c>
      <c r="H192" s="1">
        <f t="shared" si="65"/>
        <v>233.72352164211802</v>
      </c>
      <c r="I192" s="1">
        <f t="shared" si="66"/>
        <v>1129.4500441138698</v>
      </c>
      <c r="J192" s="1">
        <f t="shared" si="67"/>
        <v>9.017475843259705</v>
      </c>
      <c r="K192" s="1">
        <f t="shared" si="68"/>
        <v>137.7757664951975</v>
      </c>
      <c r="L192" s="1">
        <f t="shared" si="69"/>
        <v>138.07054973426796</v>
      </c>
    </row>
    <row r="193" spans="1:12" ht="12.75">
      <c r="A193" s="1">
        <f t="shared" si="60"/>
        <v>9.55</v>
      </c>
      <c r="B193" s="1">
        <f t="shared" si="58"/>
        <v>16</v>
      </c>
      <c r="C193" s="1">
        <f t="shared" si="59"/>
        <v>0</v>
      </c>
      <c r="D193" s="1">
        <f t="shared" si="61"/>
        <v>0</v>
      </c>
      <c r="E193" s="1" t="e">
        <f t="shared" si="62"/>
        <v>#DIV/0!</v>
      </c>
      <c r="F193" s="1">
        <f t="shared" si="63"/>
        <v>0</v>
      </c>
      <c r="G193" s="1">
        <f t="shared" si="64"/>
        <v>15.96610715789256</v>
      </c>
      <c r="H193" s="1">
        <f t="shared" si="65"/>
        <v>234.38480320395706</v>
      </c>
      <c r="I193" s="1">
        <f t="shared" si="66"/>
        <v>1139.5935149227598</v>
      </c>
      <c r="J193" s="1">
        <f t="shared" si="67"/>
        <v>9.017475843259705</v>
      </c>
      <c r="K193" s="1">
        <f t="shared" si="68"/>
        <v>138.3200564848653</v>
      </c>
      <c r="L193" s="1">
        <f t="shared" si="69"/>
        <v>138.61368221268813</v>
      </c>
    </row>
    <row r="194" spans="1:12" ht="12.75">
      <c r="A194" s="1">
        <f t="shared" si="60"/>
        <v>9.600000000000001</v>
      </c>
      <c r="B194" s="1">
        <f t="shared" si="58"/>
        <v>16</v>
      </c>
      <c r="C194" s="1">
        <f t="shared" si="59"/>
        <v>0</v>
      </c>
      <c r="D194" s="1">
        <f t="shared" si="61"/>
        <v>0</v>
      </c>
      <c r="E194" s="1" t="e">
        <f t="shared" si="62"/>
        <v>#DIV/0!</v>
      </c>
      <c r="F194" s="1">
        <f t="shared" si="63"/>
        <v>0</v>
      </c>
      <c r="G194" s="1">
        <f t="shared" si="64"/>
        <v>15.966371497635272</v>
      </c>
      <c r="H194" s="1">
        <f t="shared" si="65"/>
        <v>235.0460847657961</v>
      </c>
      <c r="I194" s="1">
        <f t="shared" si="66"/>
        <v>1149.7769009995448</v>
      </c>
      <c r="J194" s="1">
        <f t="shared" si="67"/>
        <v>9.017475843259705</v>
      </c>
      <c r="K194" s="1">
        <f t="shared" si="68"/>
        <v>138.86435559252072</v>
      </c>
      <c r="L194" s="1">
        <f t="shared" si="69"/>
        <v>139.15683283514977</v>
      </c>
    </row>
    <row r="195" spans="1:12" ht="12.75">
      <c r="A195" s="1">
        <f t="shared" si="60"/>
        <v>9.650000000000002</v>
      </c>
      <c r="B195" s="1">
        <f aca="true" t="shared" si="70" ref="B195:B221">amax*MIN(1,(A195/k))</f>
        <v>16</v>
      </c>
      <c r="C195" s="1">
        <f aca="true" t="shared" si="71" ref="C195:C221">g*SQRT(1-B195*B195/(amax*amax))</f>
        <v>0</v>
      </c>
      <c r="D195" s="1">
        <f t="shared" si="61"/>
        <v>0</v>
      </c>
      <c r="E195" s="1" t="e">
        <f t="shared" si="62"/>
        <v>#DIV/0!</v>
      </c>
      <c r="F195" s="1">
        <f t="shared" si="63"/>
        <v>0</v>
      </c>
      <c r="G195" s="1">
        <f t="shared" si="64"/>
        <v>15.966632764408667</v>
      </c>
      <c r="H195" s="1">
        <f t="shared" si="65"/>
        <v>235.70736632763516</v>
      </c>
      <c r="I195" s="1">
        <f t="shared" si="66"/>
        <v>1160.0002030050737</v>
      </c>
      <c r="J195" s="1">
        <f t="shared" si="67"/>
        <v>9.017475843259705</v>
      </c>
      <c r="K195" s="1">
        <f t="shared" si="68"/>
        <v>139.4086637117583</v>
      </c>
      <c r="L195" s="1">
        <f t="shared" si="69"/>
        <v>139.70000139041477</v>
      </c>
    </row>
    <row r="196" spans="1:12" ht="12.75">
      <c r="A196" s="1">
        <f t="shared" si="60"/>
        <v>9.700000000000003</v>
      </c>
      <c r="B196" s="1">
        <f t="shared" si="70"/>
        <v>16</v>
      </c>
      <c r="C196" s="1">
        <f t="shared" si="71"/>
        <v>0</v>
      </c>
      <c r="D196" s="1">
        <f t="shared" si="61"/>
        <v>0</v>
      </c>
      <c r="E196" s="1" t="e">
        <f t="shared" si="62"/>
        <v>#DIV/0!</v>
      </c>
      <c r="F196" s="1">
        <f t="shared" si="63"/>
        <v>0</v>
      </c>
      <c r="G196" s="1">
        <f t="shared" si="64"/>
        <v>15.966891005544854</v>
      </c>
      <c r="H196" s="1">
        <f t="shared" si="65"/>
        <v>236.3686478894742</v>
      </c>
      <c r="I196" s="1">
        <f t="shared" si="66"/>
        <v>1170.2634215925136</v>
      </c>
      <c r="J196" s="1">
        <f t="shared" si="67"/>
        <v>9.017475843259705</v>
      </c>
      <c r="K196" s="1">
        <f t="shared" si="68"/>
        <v>139.95298073781768</v>
      </c>
      <c r="L196" s="1">
        <f t="shared" si="69"/>
        <v>140.24318767050235</v>
      </c>
    </row>
    <row r="197" spans="1:12" ht="12.75">
      <c r="A197" s="1">
        <f t="shared" si="60"/>
        <v>9.750000000000004</v>
      </c>
      <c r="B197" s="1">
        <f t="shared" si="70"/>
        <v>16</v>
      </c>
      <c r="C197" s="1">
        <f t="shared" si="71"/>
        <v>0</v>
      </c>
      <c r="D197" s="1">
        <f t="shared" si="61"/>
        <v>0</v>
      </c>
      <c r="E197" s="1" t="e">
        <f t="shared" si="62"/>
        <v>#DIV/0!</v>
      </c>
      <c r="F197" s="1">
        <f t="shared" si="63"/>
        <v>0</v>
      </c>
      <c r="G197" s="1">
        <f t="shared" si="64"/>
        <v>15.967146267470353</v>
      </c>
      <c r="H197" s="1">
        <f t="shared" si="65"/>
        <v>237.02992945131325</v>
      </c>
      <c r="I197" s="1">
        <f t="shared" si="66"/>
        <v>1180.5665574074674</v>
      </c>
      <c r="J197" s="1">
        <f t="shared" si="67"/>
        <v>9.017475843259705</v>
      </c>
      <c r="K197" s="1">
        <f t="shared" si="68"/>
        <v>140.49730656755216</v>
      </c>
      <c r="L197" s="1">
        <f t="shared" si="69"/>
        <v>140.78639147062654</v>
      </c>
    </row>
    <row r="198" spans="1:12" ht="12.75">
      <c r="A198" s="1">
        <f t="shared" si="60"/>
        <v>9.800000000000004</v>
      </c>
      <c r="B198" s="1">
        <f t="shared" si="70"/>
        <v>16</v>
      </c>
      <c r="C198" s="1">
        <f t="shared" si="71"/>
        <v>0</v>
      </c>
      <c r="D198" s="1">
        <f t="shared" si="61"/>
        <v>0</v>
      </c>
      <c r="E198" s="1" t="e">
        <f t="shared" si="62"/>
        <v>#DIV/0!</v>
      </c>
      <c r="F198" s="1">
        <f t="shared" si="63"/>
        <v>0</v>
      </c>
      <c r="G198" s="1">
        <f t="shared" si="64"/>
        <v>15.967398595726737</v>
      </c>
      <c r="H198" s="1">
        <f t="shared" si="65"/>
        <v>237.6912110131523</v>
      </c>
      <c r="I198" s="1">
        <f t="shared" si="66"/>
        <v>1190.9096110880898</v>
      </c>
      <c r="J198" s="1">
        <f t="shared" si="67"/>
        <v>9.017475843259705</v>
      </c>
      <c r="K198" s="1">
        <f t="shared" si="68"/>
        <v>141.04164109939774</v>
      </c>
      <c r="L198" s="1">
        <f t="shared" si="69"/>
        <v>141.32961258913537</v>
      </c>
    </row>
    <row r="199" spans="1:12" ht="12.75">
      <c r="A199" s="1">
        <f t="shared" si="60"/>
        <v>9.850000000000005</v>
      </c>
      <c r="B199" s="1">
        <f t="shared" si="70"/>
        <v>16</v>
      </c>
      <c r="C199" s="1">
        <f t="shared" si="71"/>
        <v>0</v>
      </c>
      <c r="D199" s="1">
        <f t="shared" si="61"/>
        <v>0</v>
      </c>
      <c r="E199" s="1" t="e">
        <f t="shared" si="62"/>
        <v>#DIV/0!</v>
      </c>
      <c r="F199" s="1">
        <f t="shared" si="63"/>
        <v>0</v>
      </c>
      <c r="G199" s="1">
        <f t="shared" si="64"/>
        <v>15.967648034990754</v>
      </c>
      <c r="H199" s="1">
        <f t="shared" si="65"/>
        <v>238.35249257499135</v>
      </c>
      <c r="I199" s="1">
        <f t="shared" si="66"/>
        <v>1201.2925832652018</v>
      </c>
      <c r="J199" s="1">
        <f t="shared" si="67"/>
        <v>9.017475843259705</v>
      </c>
      <c r="K199" s="1">
        <f t="shared" si="68"/>
        <v>141.58598423334297</v>
      </c>
      <c r="L199" s="1">
        <f t="shared" si="69"/>
        <v>141.8728508274512</v>
      </c>
    </row>
    <row r="200" spans="1:12" ht="12.75">
      <c r="A200" s="1">
        <f t="shared" si="60"/>
        <v>9.900000000000006</v>
      </c>
      <c r="B200" s="1">
        <f t="shared" si="70"/>
        <v>16</v>
      </c>
      <c r="C200" s="1">
        <f t="shared" si="71"/>
        <v>0</v>
      </c>
      <c r="D200" s="1">
        <f t="shared" si="61"/>
        <v>0</v>
      </c>
      <c r="E200" s="1" t="e">
        <f t="shared" si="62"/>
        <v>#DIV/0!</v>
      </c>
      <c r="F200" s="1">
        <f t="shared" si="63"/>
        <v>0</v>
      </c>
      <c r="G200" s="1">
        <f t="shared" si="64"/>
        <v>15.967894629093925</v>
      </c>
      <c r="H200" s="1">
        <f t="shared" si="65"/>
        <v>239.0137741368304</v>
      </c>
      <c r="I200" s="1">
        <f t="shared" si="66"/>
        <v>1211.7154745624011</v>
      </c>
      <c r="J200" s="1">
        <f t="shared" si="67"/>
        <v>9.017475843259705</v>
      </c>
      <c r="K200" s="1">
        <f t="shared" si="68"/>
        <v>142.13033587089947</v>
      </c>
      <c r="L200" s="1">
        <f t="shared" si="69"/>
        <v>142.41610599001248</v>
      </c>
    </row>
    <row r="201" spans="1:12" ht="12.75">
      <c r="A201" s="1">
        <f t="shared" si="60"/>
        <v>9.950000000000006</v>
      </c>
      <c r="B201" s="1">
        <f t="shared" si="70"/>
        <v>16</v>
      </c>
      <c r="C201" s="1">
        <f t="shared" si="71"/>
        <v>0</v>
      </c>
      <c r="D201" s="1">
        <f t="shared" si="61"/>
        <v>0</v>
      </c>
      <c r="E201" s="1" t="e">
        <f t="shared" si="62"/>
        <v>#DIV/0!</v>
      </c>
      <c r="F201" s="1">
        <f t="shared" si="63"/>
        <v>0</v>
      </c>
      <c r="G201" s="1">
        <f t="shared" si="64"/>
        <v>15.968138421041596</v>
      </c>
      <c r="H201" s="1">
        <f t="shared" si="65"/>
        <v>239.67505569866944</v>
      </c>
      <c r="I201" s="1">
        <f t="shared" si="66"/>
        <v>1222.1782855961733</v>
      </c>
      <c r="J201" s="1">
        <f t="shared" si="67"/>
        <v>9.017475843259705</v>
      </c>
      <c r="K201" s="1">
        <f t="shared" si="68"/>
        <v>142.67469591507313</v>
      </c>
      <c r="L201" s="1">
        <f t="shared" si="69"/>
        <v>142.95937788421702</v>
      </c>
    </row>
    <row r="202" spans="1:12" ht="12.75">
      <c r="A202" s="1">
        <f t="shared" si="60"/>
        <v>10.000000000000007</v>
      </c>
      <c r="B202" s="1">
        <f t="shared" si="70"/>
        <v>16</v>
      </c>
      <c r="C202" s="1">
        <f t="shared" si="71"/>
        <v>0</v>
      </c>
      <c r="D202" s="1">
        <f t="shared" si="61"/>
        <v>0</v>
      </c>
      <c r="E202" s="1" t="e">
        <f t="shared" si="62"/>
        <v>#DIV/0!</v>
      </c>
      <c r="F202" s="1">
        <f t="shared" si="63"/>
        <v>0</v>
      </c>
      <c r="G202" s="1">
        <f t="shared" si="64"/>
        <v>15.968379453031515</v>
      </c>
      <c r="H202" s="1">
        <f t="shared" si="65"/>
        <v>240.3363372605085</v>
      </c>
      <c r="I202" s="1">
        <f t="shared" si="66"/>
        <v>1232.6810169759979</v>
      </c>
      <c r="J202" s="1">
        <f t="shared" si="67"/>
        <v>9.017475843259705</v>
      </c>
      <c r="K202" s="1">
        <f t="shared" si="68"/>
        <v>143.2190642703359</v>
      </c>
      <c r="L202" s="1">
        <f t="shared" si="69"/>
        <v>143.50266632036627</v>
      </c>
    </row>
    <row r="203" spans="1:12" ht="12.75">
      <c r="A203" s="1">
        <f t="shared" si="60"/>
        <v>10.050000000000008</v>
      </c>
      <c r="B203" s="1">
        <f t="shared" si="70"/>
        <v>16</v>
      </c>
      <c r="C203" s="1">
        <f t="shared" si="71"/>
        <v>0</v>
      </c>
      <c r="D203" s="1">
        <f t="shared" si="61"/>
        <v>0</v>
      </c>
      <c r="E203" s="1" t="e">
        <f t="shared" si="62"/>
        <v>#DIV/0!</v>
      </c>
      <c r="F203" s="1">
        <f t="shared" si="63"/>
        <v>0</v>
      </c>
      <c r="G203" s="1">
        <f t="shared" si="64"/>
        <v>15.968617766471938</v>
      </c>
      <c r="H203" s="1">
        <f t="shared" si="65"/>
        <v>240.99761882234753</v>
      </c>
      <c r="I203" s="1">
        <f t="shared" si="66"/>
        <v>1243.2236693044551</v>
      </c>
      <c r="J203" s="1">
        <f t="shared" si="67"/>
        <v>9.017475843259705</v>
      </c>
      <c r="K203" s="1">
        <f t="shared" si="68"/>
        <v>143.76344084259836</v>
      </c>
      <c r="L203" s="1">
        <f t="shared" si="69"/>
        <v>144.04597111161092</v>
      </c>
    </row>
    <row r="204" spans="1:12" ht="12.75">
      <c r="A204" s="1">
        <f t="shared" si="60"/>
        <v>10.100000000000009</v>
      </c>
      <c r="B204" s="1">
        <f t="shared" si="70"/>
        <v>16</v>
      </c>
      <c r="C204" s="1">
        <f t="shared" si="71"/>
        <v>0</v>
      </c>
      <c r="D204" s="1">
        <f t="shared" si="61"/>
        <v>0</v>
      </c>
      <c r="E204" s="1" t="e">
        <f t="shared" si="62"/>
        <v>#DIV/0!</v>
      </c>
      <c r="F204" s="1">
        <f t="shared" si="63"/>
        <v>0</v>
      </c>
      <c r="G204" s="1">
        <f t="shared" si="64"/>
        <v>15.968853401999215</v>
      </c>
      <c r="H204" s="1">
        <f t="shared" si="65"/>
        <v>241.65890038418658</v>
      </c>
      <c r="I204" s="1">
        <f t="shared" si="66"/>
        <v>1253.8062431773285</v>
      </c>
      <c r="J204" s="1">
        <f t="shared" si="67"/>
        <v>9.017475843259705</v>
      </c>
      <c r="K204" s="1">
        <f t="shared" si="68"/>
        <v>144.30782553918263</v>
      </c>
      <c r="L204" s="1">
        <f t="shared" si="69"/>
        <v>144.58929207389787</v>
      </c>
    </row>
    <row r="205" spans="1:12" ht="12.75">
      <c r="A205" s="1">
        <f t="shared" si="60"/>
        <v>10.15000000000001</v>
      </c>
      <c r="B205" s="1">
        <f t="shared" si="70"/>
        <v>16</v>
      </c>
      <c r="C205" s="1">
        <f t="shared" si="71"/>
        <v>0</v>
      </c>
      <c r="D205" s="1">
        <f t="shared" si="61"/>
        <v>0</v>
      </c>
      <c r="E205" s="1" t="e">
        <f t="shared" si="62"/>
        <v>#DIV/0!</v>
      </c>
      <c r="F205" s="1">
        <f t="shared" si="63"/>
        <v>0</v>
      </c>
      <c r="G205" s="1">
        <f t="shared" si="64"/>
        <v>15.969086399494987</v>
      </c>
      <c r="H205" s="1">
        <f t="shared" si="65"/>
        <v>242.32018194602563</v>
      </c>
      <c r="I205" s="1">
        <f t="shared" si="66"/>
        <v>1264.428739183707</v>
      </c>
      <c r="J205" s="1">
        <f t="shared" si="67"/>
        <v>9.017475843259705</v>
      </c>
      <c r="K205" s="1">
        <f t="shared" si="68"/>
        <v>144.85221826879624</v>
      </c>
      <c r="L205" s="1">
        <f t="shared" si="69"/>
        <v>145.13262902591808</v>
      </c>
    </row>
    <row r="206" spans="1:12" ht="12.75">
      <c r="A206" s="1">
        <f t="shared" si="60"/>
        <v>10.20000000000001</v>
      </c>
      <c r="B206" s="1">
        <f t="shared" si="70"/>
        <v>16</v>
      </c>
      <c r="C206" s="1">
        <f t="shared" si="71"/>
        <v>0</v>
      </c>
      <c r="D206" s="1">
        <f t="shared" si="61"/>
        <v>0</v>
      </c>
      <c r="E206" s="1" t="e">
        <f t="shared" si="62"/>
        <v>#DIV/0!</v>
      </c>
      <c r="F206" s="1">
        <f t="shared" si="63"/>
        <v>0</v>
      </c>
      <c r="G206" s="1">
        <f t="shared" si="64"/>
        <v>15.96931679810288</v>
      </c>
      <c r="H206" s="1">
        <f t="shared" si="65"/>
        <v>242.98146350786467</v>
      </c>
      <c r="I206" s="1">
        <f t="shared" si="66"/>
        <v>1275.0911579060842</v>
      </c>
      <c r="J206" s="1">
        <f t="shared" si="67"/>
        <v>9.017475843259705</v>
      </c>
      <c r="K206" s="1">
        <f t="shared" si="68"/>
        <v>145.3966189415063</v>
      </c>
      <c r="L206" s="1">
        <f t="shared" si="69"/>
        <v>145.67598178905595</v>
      </c>
    </row>
    <row r="207" spans="1:12" ht="12.75">
      <c r="A207" s="1">
        <f t="shared" si="60"/>
        <v>10.25000000000001</v>
      </c>
      <c r="B207" s="1">
        <f t="shared" si="70"/>
        <v>16</v>
      </c>
      <c r="C207" s="1">
        <f t="shared" si="71"/>
        <v>0</v>
      </c>
      <c r="D207" s="1">
        <f t="shared" si="61"/>
        <v>0</v>
      </c>
      <c r="E207" s="1" t="e">
        <f t="shared" si="62"/>
        <v>#DIV/0!</v>
      </c>
      <c r="F207" s="1">
        <f t="shared" si="63"/>
        <v>0</v>
      </c>
      <c r="G207" s="1">
        <f t="shared" si="64"/>
        <v>15.969544636244816</v>
      </c>
      <c r="H207" s="1">
        <f t="shared" si="65"/>
        <v>243.64274506970372</v>
      </c>
      <c r="I207" s="1">
        <f t="shared" si="66"/>
        <v>1285.7934999204565</v>
      </c>
      <c r="J207" s="1">
        <f t="shared" si="67"/>
        <v>9.017475843259705</v>
      </c>
      <c r="K207" s="1">
        <f t="shared" si="68"/>
        <v>145.94102746871434</v>
      </c>
      <c r="L207" s="1">
        <f t="shared" si="69"/>
        <v>146.21935018733947</v>
      </c>
    </row>
    <row r="208" spans="1:12" ht="12.75">
      <c r="A208" s="1">
        <f t="shared" si="60"/>
        <v>10.300000000000011</v>
      </c>
      <c r="B208" s="1">
        <f t="shared" si="70"/>
        <v>16</v>
      </c>
      <c r="C208" s="1">
        <f t="shared" si="71"/>
        <v>0</v>
      </c>
      <c r="D208" s="1">
        <f t="shared" si="61"/>
        <v>0</v>
      </c>
      <c r="E208" s="1" t="e">
        <f t="shared" si="62"/>
        <v>#DIV/0!</v>
      </c>
      <c r="F208" s="1">
        <f t="shared" si="63"/>
        <v>0</v>
      </c>
      <c r="G208" s="1">
        <f t="shared" si="64"/>
        <v>15.969769951636867</v>
      </c>
      <c r="H208" s="1">
        <f t="shared" si="65"/>
        <v>244.30402663154277</v>
      </c>
      <c r="I208" s="1">
        <f t="shared" si="66"/>
        <v>1296.5357657964196</v>
      </c>
      <c r="J208" s="1">
        <f t="shared" si="67"/>
        <v>9.017475843259705</v>
      </c>
      <c r="K208" s="1">
        <f t="shared" si="68"/>
        <v>146.48544376313177</v>
      </c>
      <c r="L208" s="1">
        <f t="shared" si="69"/>
        <v>146.76273404739166</v>
      </c>
    </row>
    <row r="209" spans="1:12" ht="12.75">
      <c r="A209" s="1">
        <f t="shared" si="60"/>
        <v>10.350000000000012</v>
      </c>
      <c r="B209" s="1">
        <f t="shared" si="70"/>
        <v>16</v>
      </c>
      <c r="C209" s="1">
        <f t="shared" si="71"/>
        <v>0</v>
      </c>
      <c r="D209" s="1">
        <f t="shared" si="61"/>
        <v>0</v>
      </c>
      <c r="E209" s="1" t="e">
        <f t="shared" si="62"/>
        <v>#DIV/0!</v>
      </c>
      <c r="F209" s="1">
        <f t="shared" si="63"/>
        <v>0</v>
      </c>
      <c r="G209" s="1">
        <f t="shared" si="64"/>
        <v>15.969992781304736</v>
      </c>
      <c r="H209" s="1">
        <f t="shared" si="65"/>
        <v>244.96530819338182</v>
      </c>
      <c r="I209" s="1">
        <f t="shared" si="66"/>
        <v>1307.3179560972617</v>
      </c>
      <c r="J209" s="1">
        <f t="shared" si="67"/>
        <v>9.017475843259705</v>
      </c>
      <c r="K209" s="1">
        <f t="shared" si="68"/>
        <v>147.02986773875574</v>
      </c>
      <c r="L209" s="1">
        <f t="shared" si="69"/>
        <v>147.3061331983831</v>
      </c>
    </row>
    <row r="210" spans="1:12" ht="12.75">
      <c r="A210" s="1">
        <f t="shared" si="60"/>
        <v>10.400000000000013</v>
      </c>
      <c r="B210" s="1">
        <f t="shared" si="70"/>
        <v>16</v>
      </c>
      <c r="C210" s="1">
        <f t="shared" si="71"/>
        <v>0</v>
      </c>
      <c r="D210" s="1">
        <f t="shared" si="61"/>
        <v>0</v>
      </c>
      <c r="E210" s="1" t="e">
        <f t="shared" si="62"/>
        <v>#DIV/0!</v>
      </c>
      <c r="F210" s="1">
        <f t="shared" si="63"/>
        <v>0</v>
      </c>
      <c r="G210" s="1">
        <f t="shared" si="64"/>
        <v>15.97021316159883</v>
      </c>
      <c r="H210" s="1">
        <f t="shared" si="65"/>
        <v>245.62658975522086</v>
      </c>
      <c r="I210" s="1">
        <f t="shared" si="66"/>
        <v>1318.140071380057</v>
      </c>
      <c r="J210" s="1">
        <f t="shared" si="67"/>
        <v>9.017475843259705</v>
      </c>
      <c r="K210" s="1">
        <f t="shared" si="68"/>
        <v>147.57429931084567</v>
      </c>
      <c r="L210" s="1">
        <f t="shared" si="69"/>
        <v>147.84954747198532</v>
      </c>
    </row>
    <row r="211" spans="1:12" ht="12.75">
      <c r="A211" s="1">
        <f t="shared" si="60"/>
        <v>10.450000000000014</v>
      </c>
      <c r="B211" s="1">
        <f t="shared" si="70"/>
        <v>16</v>
      </c>
      <c r="C211" s="1">
        <f t="shared" si="71"/>
        <v>0</v>
      </c>
      <c r="D211" s="1">
        <f t="shared" si="61"/>
        <v>0</v>
      </c>
      <c r="E211" s="1" t="e">
        <f t="shared" si="62"/>
        <v>#DIV/0!</v>
      </c>
      <c r="F211" s="1">
        <f t="shared" si="63"/>
        <v>0</v>
      </c>
      <c r="G211" s="1">
        <f t="shared" si="64"/>
        <v>15.970431128208949</v>
      </c>
      <c r="H211" s="1">
        <f t="shared" si="65"/>
        <v>246.2878713170599</v>
      </c>
      <c r="I211" s="1">
        <f t="shared" si="66"/>
        <v>1329.0021121957564</v>
      </c>
      <c r="J211" s="1">
        <f t="shared" si="67"/>
        <v>9.017475843259705</v>
      </c>
      <c r="K211" s="1">
        <f t="shared" si="68"/>
        <v>148.11873839590018</v>
      </c>
      <c r="L211" s="1">
        <f t="shared" si="69"/>
        <v>148.3929767023254</v>
      </c>
    </row>
    <row r="212" spans="1:12" ht="12.75">
      <c r="A212" s="1">
        <f t="shared" si="60"/>
        <v>10.500000000000014</v>
      </c>
      <c r="B212" s="1">
        <f t="shared" si="70"/>
        <v>16</v>
      </c>
      <c r="C212" s="1">
        <f t="shared" si="71"/>
        <v>0</v>
      </c>
      <c r="D212" s="1">
        <f t="shared" si="61"/>
        <v>0</v>
      </c>
      <c r="E212" s="1" t="e">
        <f t="shared" si="62"/>
        <v>#DIV/0!</v>
      </c>
      <c r="F212" s="1">
        <f t="shared" si="63"/>
        <v>0</v>
      </c>
      <c r="G212" s="1">
        <f t="shared" si="64"/>
        <v>15.970646716178617</v>
      </c>
      <c r="H212" s="1">
        <f t="shared" si="65"/>
        <v>246.94915287889896</v>
      </c>
      <c r="I212" s="1">
        <f t="shared" si="66"/>
        <v>1339.9040790892761</v>
      </c>
      <c r="J212" s="1">
        <f t="shared" si="67"/>
        <v>9.017475843259705</v>
      </c>
      <c r="K212" s="1">
        <f t="shared" si="68"/>
        <v>148.66318491163457</v>
      </c>
      <c r="L212" s="1">
        <f t="shared" si="69"/>
        <v>148.93642072594142</v>
      </c>
    </row>
    <row r="213" spans="1:12" ht="12.75">
      <c r="A213" s="1">
        <f t="shared" si="60"/>
        <v>10.550000000000015</v>
      </c>
      <c r="B213" s="1">
        <f t="shared" si="70"/>
        <v>16</v>
      </c>
      <c r="C213" s="1">
        <f t="shared" si="71"/>
        <v>0</v>
      </c>
      <c r="D213" s="1">
        <f t="shared" si="61"/>
        <v>0</v>
      </c>
      <c r="E213" s="1" t="e">
        <f t="shared" si="62"/>
        <v>#DIV/0!</v>
      </c>
      <c r="F213" s="1">
        <f t="shared" si="63"/>
        <v>0</v>
      </c>
      <c r="G213" s="1">
        <f t="shared" si="64"/>
        <v>15.970859959919041</v>
      </c>
      <c r="H213" s="1">
        <f t="shared" si="65"/>
        <v>247.610434440738</v>
      </c>
      <c r="I213" s="1">
        <f t="shared" si="66"/>
        <v>1350.8459725995865</v>
      </c>
      <c r="J213" s="1">
        <f t="shared" si="67"/>
        <v>9.017475843259705</v>
      </c>
      <c r="K213" s="1">
        <f t="shared" si="68"/>
        <v>149.20763877695885</v>
      </c>
      <c r="L213" s="1">
        <f t="shared" si="69"/>
        <v>149.4798793817389</v>
      </c>
    </row>
    <row r="214" spans="1:12" ht="12.75">
      <c r="A214" s="1">
        <f aca="true" t="shared" si="72" ref="A214:A221">A213+deltat</f>
        <v>10.600000000000016</v>
      </c>
      <c r="B214" s="1">
        <f t="shared" si="70"/>
        <v>16</v>
      </c>
      <c r="C214" s="1">
        <f t="shared" si="71"/>
        <v>0</v>
      </c>
      <c r="D214" s="1">
        <f aca="true" t="shared" si="73" ref="D214:D221">MAX(0,MIN(C214,g*(1-A214/k_unwind)))</f>
        <v>0</v>
      </c>
      <c r="E214" s="1" t="e">
        <f aca="true" t="shared" si="74" ref="E214:E221">(L214*L214*22*22/(15*15))/D214</f>
        <v>#DIV/0!</v>
      </c>
      <c r="F214" s="1">
        <f aca="true" t="shared" si="75" ref="F214:F221">MIN(0,B214*J214/L214-D214*K214/L214)</f>
        <v>0</v>
      </c>
      <c r="G214" s="1">
        <f aca="true" t="shared" si="76" ref="G214:G221">MAX(0,B214*K214/L214+D214*J214/L214)</f>
        <v>15.971070893222718</v>
      </c>
      <c r="H214" s="1">
        <f aca="true" t="shared" si="77" ref="H214:I221">H213+J214*deltat*22/15</f>
        <v>248.27171600257705</v>
      </c>
      <c r="I214" s="1">
        <f t="shared" si="77"/>
        <v>1361.8277932597966</v>
      </c>
      <c r="J214" s="1">
        <f aca="true" t="shared" si="78" ref="J214:J221">MAX(0,J213+F213*deltat*15/22)</f>
        <v>9.017475843259705</v>
      </c>
      <c r="K214" s="1">
        <f aca="true" t="shared" si="79" ref="K214:K221">K213+G213*deltat*15/22</f>
        <v>149.7520999119561</v>
      </c>
      <c r="L214" s="1">
        <f aca="true" t="shared" si="80" ref="L214:L221">SQRT(K214*K214+J214*J214)</f>
        <v>150.02335251094829</v>
      </c>
    </row>
    <row r="215" spans="1:12" ht="12.75">
      <c r="A215" s="1">
        <f t="shared" si="72"/>
        <v>10.650000000000016</v>
      </c>
      <c r="B215" s="1">
        <f t="shared" si="70"/>
        <v>16</v>
      </c>
      <c r="C215" s="1">
        <f t="shared" si="71"/>
        <v>0</v>
      </c>
      <c r="D215" s="1">
        <f t="shared" si="73"/>
        <v>0</v>
      </c>
      <c r="E215" s="1" t="e">
        <f t="shared" si="74"/>
        <v>#DIV/0!</v>
      </c>
      <c r="F215" s="1">
        <f t="shared" si="75"/>
        <v>0</v>
      </c>
      <c r="G215" s="1">
        <f t="shared" si="76"/>
        <v>15.97127954927671</v>
      </c>
      <c r="H215" s="1">
        <f t="shared" si="77"/>
        <v>248.9329975644161</v>
      </c>
      <c r="I215" s="1">
        <f t="shared" si="77"/>
        <v>1372.8495415972397</v>
      </c>
      <c r="J215" s="1">
        <f t="shared" si="78"/>
        <v>9.017475843259705</v>
      </c>
      <c r="K215" s="1">
        <f t="shared" si="79"/>
        <v>150.2965682378614</v>
      </c>
      <c r="L215" s="1">
        <f t="shared" si="80"/>
        <v>150.5668399570832</v>
      </c>
    </row>
    <row r="216" spans="1:12" ht="12.75">
      <c r="A216" s="1">
        <f t="shared" si="72"/>
        <v>10.700000000000017</v>
      </c>
      <c r="B216" s="1">
        <f t="shared" si="70"/>
        <v>16</v>
      </c>
      <c r="C216" s="1">
        <f t="shared" si="71"/>
        <v>0</v>
      </c>
      <c r="D216" s="1">
        <f t="shared" si="73"/>
        <v>0</v>
      </c>
      <c r="E216" s="1" t="e">
        <f t="shared" si="74"/>
        <v>#DIV/0!</v>
      </c>
      <c r="F216" s="1">
        <f t="shared" si="75"/>
        <v>0</v>
      </c>
      <c r="G216" s="1">
        <f t="shared" si="76"/>
        <v>15.9714859606756</v>
      </c>
      <c r="H216" s="1">
        <f t="shared" si="77"/>
        <v>249.59427912625515</v>
      </c>
      <c r="I216" s="1">
        <f t="shared" si="77"/>
        <v>1383.911218133556</v>
      </c>
      <c r="J216" s="1">
        <f t="shared" si="78"/>
        <v>9.017475843259705</v>
      </c>
      <c r="K216" s="1">
        <f t="shared" si="79"/>
        <v>150.84104367704128</v>
      </c>
      <c r="L216" s="1">
        <f t="shared" si="80"/>
        <v>151.11034156589963</v>
      </c>
    </row>
    <row r="217" spans="1:12" ht="12.75">
      <c r="A217" s="1">
        <f t="shared" si="72"/>
        <v>10.750000000000018</v>
      </c>
      <c r="B217" s="1">
        <f t="shared" si="70"/>
        <v>16</v>
      </c>
      <c r="C217" s="1">
        <f t="shared" si="71"/>
        <v>0</v>
      </c>
      <c r="D217" s="1">
        <f t="shared" si="73"/>
        <v>0</v>
      </c>
      <c r="E217" s="1" t="e">
        <f t="shared" si="74"/>
        <v>#DIV/0!</v>
      </c>
      <c r="F217" s="1">
        <f t="shared" si="75"/>
        <v>0</v>
      </c>
      <c r="G217" s="1">
        <f t="shared" si="76"/>
        <v>15.971690159434093</v>
      </c>
      <c r="H217" s="1">
        <f t="shared" si="77"/>
        <v>250.2555606880942</v>
      </c>
      <c r="I217" s="1">
        <f t="shared" si="77"/>
        <v>1395.012823384774</v>
      </c>
      <c r="J217" s="1">
        <f t="shared" si="78"/>
        <v>9.017475843259705</v>
      </c>
      <c r="K217" s="1">
        <f t="shared" si="79"/>
        <v>151.3855261529734</v>
      </c>
      <c r="L217" s="1">
        <f t="shared" si="80"/>
        <v>151.65385718535603</v>
      </c>
    </row>
    <row r="218" spans="1:12" ht="12.75">
      <c r="A218" s="1">
        <f t="shared" si="72"/>
        <v>10.800000000000018</v>
      </c>
      <c r="B218" s="1">
        <f t="shared" si="70"/>
        <v>16</v>
      </c>
      <c r="C218" s="1">
        <f t="shared" si="71"/>
        <v>0</v>
      </c>
      <c r="D218" s="1">
        <f t="shared" si="73"/>
        <v>0</v>
      </c>
      <c r="E218" s="1" t="e">
        <f t="shared" si="74"/>
        <v>#DIV/0!</v>
      </c>
      <c r="F218" s="1">
        <f t="shared" si="75"/>
        <v>0</v>
      </c>
      <c r="G218" s="1">
        <f t="shared" si="76"/>
        <v>15.971892176999335</v>
      </c>
      <c r="H218" s="1">
        <f t="shared" si="77"/>
        <v>250.91684224993324</v>
      </c>
      <c r="I218" s="1">
        <f t="shared" si="77"/>
        <v>1406.1543578613907</v>
      </c>
      <c r="J218" s="1">
        <f t="shared" si="78"/>
        <v>9.017475843259705</v>
      </c>
      <c r="K218" s="1">
        <f t="shared" si="79"/>
        <v>151.93001559022684</v>
      </c>
      <c r="L218" s="1">
        <f t="shared" si="80"/>
        <v>152.19738666557433</v>
      </c>
    </row>
    <row r="219" spans="1:12" ht="12.75">
      <c r="A219" s="1">
        <f t="shared" si="72"/>
        <v>10.85000000000002</v>
      </c>
      <c r="B219" s="1">
        <f t="shared" si="70"/>
        <v>16</v>
      </c>
      <c r="C219" s="1">
        <f t="shared" si="71"/>
        <v>0</v>
      </c>
      <c r="D219" s="1">
        <f t="shared" si="73"/>
        <v>0</v>
      </c>
      <c r="E219" s="1" t="e">
        <f t="shared" si="74"/>
        <v>#DIV/0!</v>
      </c>
      <c r="F219" s="1">
        <f t="shared" si="75"/>
        <v>0</v>
      </c>
      <c r="G219" s="1">
        <f t="shared" si="76"/>
        <v>15.972092044262919</v>
      </c>
      <c r="H219" s="1">
        <f t="shared" si="77"/>
        <v>251.5781238117723</v>
      </c>
      <c r="I219" s="1">
        <f t="shared" si="77"/>
        <v>1417.33582206845</v>
      </c>
      <c r="J219" s="1">
        <f t="shared" si="78"/>
        <v>9.017475843259705</v>
      </c>
      <c r="K219" s="1">
        <f t="shared" si="79"/>
        <v>152.47451191444273</v>
      </c>
      <c r="L219" s="1">
        <f t="shared" si="80"/>
        <v>152.74092985880148</v>
      </c>
    </row>
    <row r="220" spans="1:12" ht="12.75">
      <c r="A220" s="1">
        <f t="shared" si="72"/>
        <v>10.90000000000002</v>
      </c>
      <c r="B220" s="1">
        <f t="shared" si="70"/>
        <v>16</v>
      </c>
      <c r="C220" s="1">
        <f t="shared" si="71"/>
        <v>0</v>
      </c>
      <c r="D220" s="1">
        <f t="shared" si="73"/>
        <v>0</v>
      </c>
      <c r="E220" s="1" t="e">
        <f t="shared" si="74"/>
        <v>#DIV/0!</v>
      </c>
      <c r="F220" s="1">
        <f t="shared" si="75"/>
        <v>0</v>
      </c>
      <c r="G220" s="1">
        <f t="shared" si="76"/>
        <v>15.972289791572607</v>
      </c>
      <c r="H220" s="1">
        <f t="shared" si="77"/>
        <v>252.23940537361133</v>
      </c>
      <c r="I220" s="1">
        <f t="shared" si="77"/>
        <v>1428.5572165056196</v>
      </c>
      <c r="J220" s="1">
        <f t="shared" si="78"/>
        <v>9.017475843259705</v>
      </c>
      <c r="K220" s="1">
        <f t="shared" si="79"/>
        <v>153.01901505231532</v>
      </c>
      <c r="L220" s="1">
        <f t="shared" si="80"/>
        <v>153.28448661937213</v>
      </c>
    </row>
    <row r="221" spans="1:12" ht="12.75">
      <c r="A221" s="1">
        <f t="shared" si="72"/>
        <v>10.95000000000002</v>
      </c>
      <c r="B221" s="1">
        <f t="shared" si="70"/>
        <v>16</v>
      </c>
      <c r="C221" s="1">
        <f t="shared" si="71"/>
        <v>0</v>
      </c>
      <c r="D221" s="1">
        <f t="shared" si="73"/>
        <v>0</v>
      </c>
      <c r="E221" s="1" t="e">
        <f t="shared" si="74"/>
        <v>#DIV/0!</v>
      </c>
      <c r="F221" s="1">
        <f t="shared" si="75"/>
        <v>0</v>
      </c>
      <c r="G221" s="1">
        <f t="shared" si="76"/>
        <v>15.972485448743727</v>
      </c>
      <c r="H221" s="1">
        <f t="shared" si="77"/>
        <v>252.90068693545038</v>
      </c>
      <c r="I221" s="1">
        <f t="shared" si="77"/>
        <v>1439.8185416672684</v>
      </c>
      <c r="J221" s="1">
        <f t="shared" si="78"/>
        <v>9.017475843259705</v>
      </c>
      <c r="K221" s="1">
        <f t="shared" si="79"/>
        <v>153.56352493157348</v>
      </c>
      <c r="L221" s="1">
        <f t="shared" si="80"/>
        <v>153.82805680367207</v>
      </c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 Pink Sounds,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brianbec</dc:creator>
  <cp:keywords/>
  <dc:description/>
  <cp:lastModifiedBy>brianbec</cp:lastModifiedBy>
  <dcterms:created xsi:type="dcterms:W3CDTF">2000-07-29T15:34:03Z</dcterms:created>
  <dcterms:modified xsi:type="dcterms:W3CDTF">2000-08-13T14:35:48Z</dcterms:modified>
  <cp:category/>
  <cp:version/>
  <cp:contentType/>
  <cp:contentStatus/>
</cp:coreProperties>
</file>