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600" activeTab="3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alpha">'Sheet3'!$O$5</definedName>
    <definedName name="amax">'Sheet3'!$O$10</definedName>
    <definedName name="chute">'Sheet1'!$E$19</definedName>
    <definedName name="deltat">'Sheet3'!$O$11</definedName>
    <definedName name="fpspmph">'Sheet1'!$E$16</definedName>
    <definedName name="fpspmph2">'Sheet1'!$E$17</definedName>
    <definedName name="g" localSheetId="0">'Sheet1'!$E$18</definedName>
    <definedName name="g">'Sheet3'!$O$12</definedName>
    <definedName name="h">'Sheet3'!$O$6</definedName>
    <definedName name="k">'Sheet3'!$O$8</definedName>
    <definedName name="k_unwind">'Sheet3'!$O$13</definedName>
    <definedName name="mphpfps">'Sheet1'!$G$16</definedName>
    <definedName name="mphpfps2">'Sheet1'!$G$17</definedName>
    <definedName name="r_">'Sheet3'!$O$4</definedName>
    <definedName name="r_0">'Sheet1'!$E$21</definedName>
    <definedName name="r_1" localSheetId="0">'Sheet1'!$E$20</definedName>
    <definedName name="r_1">'Sheet3'!$O$3</definedName>
    <definedName name="r0">'Sheet3'!$O$2</definedName>
    <definedName name="v0">'Sheet3'!$O$9</definedName>
    <definedName name="w">'Sheet3'!$O$7</definedName>
  </definedNames>
  <calcPr fullCalcOnLoad="1"/>
</workbook>
</file>

<file path=xl/sharedStrings.xml><?xml version="1.0" encoding="utf-8"?>
<sst xmlns="http://schemas.openxmlformats.org/spreadsheetml/2006/main" count="116" uniqueCount="67">
  <si>
    <t>Radius (ft)</t>
  </si>
  <si>
    <t>End Speed (mph)</t>
  </si>
  <si>
    <t>Start Speed (mph)</t>
  </si>
  <si>
    <t>Stopping Distance @ 1g (ft)</t>
  </si>
  <si>
    <t>Required Braking Distance (ft) @ 1g from 100 mph</t>
  </si>
  <si>
    <t>Straight Distance (ft) prior to braking</t>
  </si>
  <si>
    <t>Time (sec) in straight @ 100 mph prior to braking</t>
  </si>
  <si>
    <t>Time (sec) in braking zone</t>
  </si>
  <si>
    <t>Time (sec) in corner @ 180 degrees</t>
  </si>
  <si>
    <t>Time (sec) in exit chute at 1/2 g accel.</t>
  </si>
  <si>
    <t>Exit speed (mph)</t>
  </si>
  <si>
    <t xml:space="preserve">Total time (sec) in segment </t>
  </si>
  <si>
    <t>Inscribed Corner Radius (ft)</t>
  </si>
  <si>
    <t>Alpha (deg)</t>
  </si>
  <si>
    <t>h (ft)</t>
  </si>
  <si>
    <t>Cornering speed @ 1g in mph</t>
  </si>
  <si>
    <t>t</t>
  </si>
  <si>
    <t>alpha</t>
  </si>
  <si>
    <t>r0</t>
  </si>
  <si>
    <t>r</t>
  </si>
  <si>
    <t>h</t>
  </si>
  <si>
    <t>w</t>
  </si>
  <si>
    <t>r_1</t>
  </si>
  <si>
    <t>k</t>
  </si>
  <si>
    <t>feet</t>
  </si>
  <si>
    <t>degrees</t>
  </si>
  <si>
    <t>seconds</t>
  </si>
  <si>
    <t>v0</t>
  </si>
  <si>
    <t>mph</t>
  </si>
  <si>
    <t>vy(t) (mph)</t>
  </si>
  <si>
    <t>vx(t) (mph)</t>
  </si>
  <si>
    <t>y(t) (feet)</t>
  </si>
  <si>
    <t>x(t) (feet)</t>
  </si>
  <si>
    <t>amax</t>
  </si>
  <si>
    <t>fpsps</t>
  </si>
  <si>
    <t>parameters</t>
  </si>
  <si>
    <t>a(t) (tangential, fpsps)</t>
  </si>
  <si>
    <t>v^2/r (radial, fpsps)</t>
  </si>
  <si>
    <t>r(t) (feet)</t>
  </si>
  <si>
    <t>v (mph)</t>
  </si>
  <si>
    <t>ax(t) (fpsps)</t>
  </si>
  <si>
    <t>ay(t) (fpsps)</t>
  </si>
  <si>
    <t>deltat</t>
  </si>
  <si>
    <t>g</t>
  </si>
  <si>
    <t>k_unwind</t>
  </si>
  <si>
    <t>a(t) (radial, fpsps)</t>
  </si>
  <si>
    <t>fpspmph</t>
  </si>
  <si>
    <t>fpspmph2</t>
  </si>
  <si>
    <t>mphpfps</t>
  </si>
  <si>
    <t>mphpfps2</t>
  </si>
  <si>
    <t>chute</t>
  </si>
  <si>
    <t>r_0</t>
  </si>
  <si>
    <t>Time (sec) in corner prior to apex</t>
  </si>
  <si>
    <t>Time (sec) in corner after apex</t>
  </si>
  <si>
    <t>Exit speed from chute (mph) @ g/2 accel</t>
  </si>
  <si>
    <t>Time in exit chute (sec)</t>
  </si>
  <si>
    <t>Combined segment time</t>
  </si>
  <si>
    <t>Combined post-apex time and exit-chute time</t>
  </si>
  <si>
    <t>Combined pre-apex time and entry-chute time</t>
  </si>
  <si>
    <t>Total time (sec) up to the apex</t>
  </si>
  <si>
    <t>Time for entrance and complete corner</t>
  </si>
  <si>
    <t>Total time (sec) in the semi-circle</t>
  </si>
  <si>
    <t>Best time Found</t>
  </si>
  <si>
    <t>Dummy Time</t>
  </si>
  <si>
    <t>Dummy-Best</t>
  </si>
  <si>
    <t>Best Total Time Found</t>
  </si>
  <si>
    <t>Best Dummy Time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</si>
</sst>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Speed at 1 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Sheet1!$A$2:$A$21</c:f>
              <c:numCache/>
            </c:numRef>
          </c:xVal>
          <c:yVal>
            <c:numRef>
              <c:f>Sheet1!$B$2:$B$21</c:f>
              <c:numCache/>
            </c:numRef>
          </c:yVal>
          <c:smooth val="1"/>
        </c:ser>
        <c:axId val="41766"/>
        <c:axId val="375895"/>
      </c:scatterChart>
      <c:valAx>
        <c:axId val="4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Radius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895"/>
        <c:crosses val="autoZero"/>
        <c:crossBetween val="midCat"/>
        <c:dispUnits/>
      </c:valAx>
      <c:valAx>
        <c:axId val="375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2</xdr:row>
      <xdr:rowOff>9525</xdr:rowOff>
    </xdr:from>
    <xdr:to>
      <xdr:col>19</xdr:col>
      <xdr:colOff>257175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6896100" y="1143000"/>
        <a:ext cx="52863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G16">
      <selection activeCell="E24" sqref="E24:T39"/>
    </sheetView>
  </sheetViews>
  <sheetFormatPr defaultColWidth="9.140625" defaultRowHeight="12.75"/>
  <cols>
    <col min="1" max="1" width="9.421875" style="0" bestFit="1" customWidth="1"/>
    <col min="2" max="2" width="11.140625" style="1" customWidth="1"/>
    <col min="3" max="3" width="9.140625" style="1" customWidth="1"/>
    <col min="4" max="5" width="9.57421875" style="0" bestFit="1" customWidth="1"/>
    <col min="6" max="6" width="9.00390625" style="0" bestFit="1" customWidth="1"/>
    <col min="7" max="7" width="12.140625" style="0" bestFit="1" customWidth="1"/>
    <col min="9" max="9" width="8.28125" style="0" bestFit="1" customWidth="1"/>
  </cols>
  <sheetData>
    <row r="1" spans="1:10" s="2" customFormat="1" ht="76.5">
      <c r="A1" s="2" t="s">
        <v>0</v>
      </c>
      <c r="B1" s="3" t="s">
        <v>15</v>
      </c>
      <c r="C1" s="3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</row>
    <row r="2" spans="1:10" ht="12.75">
      <c r="A2">
        <f>50</f>
        <v>50</v>
      </c>
      <c r="B2" s="1">
        <f>SQRT(32*A2)*60/88</f>
        <v>27.272727272727273</v>
      </c>
      <c r="C2" s="1">
        <f>(100*100-B2*B2)*88*88/(2*32*3600)</f>
        <v>311.1111111111111</v>
      </c>
      <c r="D2" s="1">
        <f>13*50-C2-100</f>
        <v>238.8888888888889</v>
      </c>
      <c r="E2" s="4">
        <f>D2/(100*88/60)</f>
        <v>1.6287878787878791</v>
      </c>
      <c r="F2" s="4">
        <f>(100-B2)*88/(60*32)</f>
        <v>3.333333333333333</v>
      </c>
      <c r="G2" s="4">
        <f>A2*PI()/(B2*(88/60))</f>
        <v>3.9269908169872414</v>
      </c>
      <c r="H2" s="4">
        <f>(I2-B2)*(88/60)/16</f>
        <v>4.346531968814577</v>
      </c>
      <c r="I2" s="1">
        <f>SQRT(16*((B2*B2*88*88/3600)/16+13*50))*60/88</f>
        <v>74.68943965979538</v>
      </c>
      <c r="J2" s="4">
        <f>E2+F2+G2+H2</f>
        <v>13.235643997923031</v>
      </c>
    </row>
    <row r="3" spans="1:10" ht="12.75">
      <c r="A3">
        <f>A2+50</f>
        <v>100</v>
      </c>
      <c r="B3" s="1">
        <f aca="true" t="shared" si="0" ref="B3:B21">SQRT(32*A3)*60/88</f>
        <v>38.5694607919935</v>
      </c>
      <c r="C3" s="1">
        <f>(100*100-B3*B3)*88*88/(2*32*3600)</f>
        <v>286.11111111111114</v>
      </c>
      <c r="D3" s="1">
        <f aca="true" t="shared" si="1" ref="D3:D14">13*50-C3-100</f>
        <v>263.88888888888886</v>
      </c>
      <c r="E3" s="4">
        <f aca="true" t="shared" si="2" ref="E3:E14">D3/(100*88/60)</f>
        <v>1.799242424242424</v>
      </c>
      <c r="F3" s="4">
        <f aca="true" t="shared" si="3" ref="F3:F14">(100-B3)*88/(60*32)</f>
        <v>2.8155663803669646</v>
      </c>
      <c r="G3" s="4">
        <f>A3*PI()/(B3*(88/60))</f>
        <v>5.5536036726979585</v>
      </c>
      <c r="H3" s="4">
        <f aca="true" t="shared" si="4" ref="H3:H14">(I3-B3)*(88/60)/16</f>
        <v>3.7531559626238873</v>
      </c>
      <c r="I3" s="1">
        <f aca="true" t="shared" si="5" ref="I3:I14">SQRT(16*((B3*B3*88*88/3600)/16+13*50))*60/88</f>
        <v>79.51298038425409</v>
      </c>
      <c r="J3" s="4">
        <f aca="true" t="shared" si="6" ref="J3:J14">E3+F3+G3+H3</f>
        <v>13.921568439931235</v>
      </c>
    </row>
    <row r="4" spans="1:10" s="7" customFormat="1" ht="12.75">
      <c r="A4" s="7">
        <f aca="true" t="shared" si="7" ref="A4:A21">A3+50</f>
        <v>150</v>
      </c>
      <c r="B4" s="8">
        <f>SQRT(g*A4)*mphpfps</f>
        <v>47.31150070726518</v>
      </c>
      <c r="C4" s="8">
        <f>(100*100-B4*B4)*fpspmph2/(2*g)</f>
        <v>260.06403599861545</v>
      </c>
      <c r="D4" s="8">
        <f>650-C4</f>
        <v>389.93596400138455</v>
      </c>
      <c r="E4" s="9">
        <f>D4/(100*fpspmph)</f>
        <v>2.6586543000094403</v>
      </c>
      <c r="F4" s="9">
        <f>(100-B4)*fpspmph/g</f>
        <v>2.4073665305091714</v>
      </c>
      <c r="G4" s="9">
        <f>A4*PI()/(B4*fpspmph)</f>
        <v>6.7911447292825695</v>
      </c>
      <c r="H4" s="9">
        <f>(I4-B4)*fpspmph/(g/2)</f>
        <v>5.661034514315186</v>
      </c>
      <c r="I4" s="8">
        <f>SQRT(chute*g+B4*B4*fpspmph2)*mphpfps</f>
        <v>109.26123067641888</v>
      </c>
      <c r="J4" s="9">
        <f t="shared" si="6"/>
        <v>17.51820007411637</v>
      </c>
    </row>
    <row r="5" spans="1:10" s="7" customFormat="1" ht="12.75">
      <c r="A5" s="7">
        <f t="shared" si="7"/>
        <v>200</v>
      </c>
      <c r="B5" s="8">
        <f>SQRT(g*A5)*mphpfps</f>
        <v>54.63061533820944</v>
      </c>
      <c r="C5" s="8">
        <f>(100*100-B5*B5)*fpspmph2/(2*g)</f>
        <v>235.06403599861545</v>
      </c>
      <c r="D5" s="8">
        <f>550-C5</f>
        <v>314.93596400138455</v>
      </c>
      <c r="E5" s="9">
        <f>D5/(100*fpspmph)</f>
        <v>2.147290663645804</v>
      </c>
      <c r="F5" s="9">
        <f>(100-B5)*fpspmph/g</f>
        <v>2.0729521548481666</v>
      </c>
      <c r="G5" s="9">
        <f>A5*PI()/(B5*fpspmph)</f>
        <v>7.841738475114001</v>
      </c>
      <c r="H5" s="9">
        <f>(I5-B5)*fpspmph/(g/2)</f>
        <v>4.6751591274634565</v>
      </c>
      <c r="I5" s="8">
        <f>SQRT((chute-100)*g+B5*B5*fpspmph2)*mphpfps</f>
        <v>105.79173169897432</v>
      </c>
      <c r="J5" s="9">
        <f t="shared" si="6"/>
        <v>16.737140421071427</v>
      </c>
    </row>
    <row r="6" spans="1:10" ht="12.75">
      <c r="A6">
        <f t="shared" si="7"/>
        <v>250</v>
      </c>
      <c r="B6" s="1">
        <f t="shared" si="0"/>
        <v>60.98367211363063</v>
      </c>
      <c r="C6" s="1">
        <f>(100*100-B6*B6)*88*88/(2*32*3600)</f>
        <v>211.11111111111106</v>
      </c>
      <c r="D6" s="1">
        <f t="shared" si="1"/>
        <v>338.8888888888889</v>
      </c>
      <c r="E6" s="4">
        <f t="shared" si="2"/>
        <v>2.310606060606061</v>
      </c>
      <c r="F6" s="4">
        <f t="shared" si="3"/>
        <v>1.788248361458596</v>
      </c>
      <c r="G6" s="4">
        <f aca="true" t="shared" si="8" ref="G6:G14">A6*PI()/(B6*(88/60))</f>
        <v>8.781018413800906</v>
      </c>
      <c r="H6" s="4">
        <f t="shared" si="4"/>
        <v>2.8877425351571104</v>
      </c>
      <c r="I6" s="1">
        <f t="shared" si="5"/>
        <v>92.4863179517082</v>
      </c>
      <c r="J6" s="4">
        <f t="shared" si="6"/>
        <v>15.767615371022673</v>
      </c>
    </row>
    <row r="7" spans="1:10" ht="12.75">
      <c r="A7">
        <f t="shared" si="7"/>
        <v>300</v>
      </c>
      <c r="B7" s="1">
        <f t="shared" si="0"/>
        <v>66.80426571226849</v>
      </c>
      <c r="C7" s="1">
        <f aca="true" t="shared" si="9" ref="C7:C14">(100*100-B7*B7)*88*88/(2*32*3600)</f>
        <v>186.11111111111114</v>
      </c>
      <c r="D7" s="1">
        <f t="shared" si="1"/>
        <v>363.88888888888886</v>
      </c>
      <c r="E7" s="4">
        <f t="shared" si="2"/>
        <v>2.481060606060606</v>
      </c>
      <c r="F7" s="4">
        <f t="shared" si="3"/>
        <v>1.521471154854361</v>
      </c>
      <c r="G7" s="4">
        <f t="shared" si="8"/>
        <v>9.619123726213981</v>
      </c>
      <c r="H7" s="4">
        <f t="shared" si="4"/>
        <v>2.7151104078738983</v>
      </c>
      <c r="I7" s="1">
        <f t="shared" si="5"/>
        <v>96.42365197998375</v>
      </c>
      <c r="J7" s="4">
        <f t="shared" si="6"/>
        <v>16.336765895002845</v>
      </c>
    </row>
    <row r="8" spans="1:10" ht="12.75">
      <c r="A8">
        <f t="shared" si="7"/>
        <v>350</v>
      </c>
      <c r="B8" s="1">
        <f t="shared" si="0"/>
        <v>72.1568539381252</v>
      </c>
      <c r="C8" s="1">
        <f t="shared" si="9"/>
        <v>161.11111111111111</v>
      </c>
      <c r="D8" s="1">
        <f t="shared" si="1"/>
        <v>388.8888888888889</v>
      </c>
      <c r="E8" s="4">
        <f t="shared" si="2"/>
        <v>2.651515151515152</v>
      </c>
      <c r="F8" s="4">
        <f t="shared" si="3"/>
        <v>1.2761441945025953</v>
      </c>
      <c r="G8" s="4">
        <f t="shared" si="8"/>
        <v>10.389841102582603</v>
      </c>
      <c r="H8" s="4">
        <f t="shared" si="4"/>
        <v>2.5712082577754423</v>
      </c>
      <c r="I8" s="1">
        <f t="shared" si="5"/>
        <v>100.20639856840275</v>
      </c>
      <c r="J8" s="4">
        <f t="shared" si="6"/>
        <v>16.88870870637579</v>
      </c>
    </row>
    <row r="9" spans="1:10" ht="12.75">
      <c r="A9">
        <f t="shared" si="7"/>
        <v>400</v>
      </c>
      <c r="B9" s="1">
        <f t="shared" si="0"/>
        <v>77.138921583987</v>
      </c>
      <c r="C9" s="1">
        <f t="shared" si="9"/>
        <v>136.11111111111111</v>
      </c>
      <c r="D9" s="1">
        <f t="shared" si="1"/>
        <v>413.8888888888889</v>
      </c>
      <c r="E9" s="4">
        <f t="shared" si="2"/>
        <v>2.8219696969696972</v>
      </c>
      <c r="F9" s="4">
        <f t="shared" si="3"/>
        <v>1.0477994274005957</v>
      </c>
      <c r="G9" s="4">
        <f t="shared" si="8"/>
        <v>11.107207345395917</v>
      </c>
      <c r="H9" s="4">
        <f t="shared" si="4"/>
        <v>2.4486485704644116</v>
      </c>
      <c r="I9" s="1">
        <f t="shared" si="5"/>
        <v>103.85145144359876</v>
      </c>
      <c r="J9" s="4">
        <f t="shared" si="6"/>
        <v>17.42562504023062</v>
      </c>
    </row>
    <row r="10" spans="1:10" ht="12.75">
      <c r="A10">
        <f t="shared" si="7"/>
        <v>450</v>
      </c>
      <c r="B10" s="1">
        <f t="shared" si="0"/>
        <v>81.81818181818181</v>
      </c>
      <c r="C10" s="1">
        <f t="shared" si="9"/>
        <v>111.11111111111113</v>
      </c>
      <c r="D10" s="1">
        <f t="shared" si="1"/>
        <v>438.8888888888889</v>
      </c>
      <c r="E10" s="4">
        <f t="shared" si="2"/>
        <v>2.9924242424242427</v>
      </c>
      <c r="F10" s="4">
        <f t="shared" si="3"/>
        <v>0.8333333333333336</v>
      </c>
      <c r="G10" s="4">
        <f t="shared" si="8"/>
        <v>11.780972450961725</v>
      </c>
      <c r="H10" s="4">
        <f t="shared" si="4"/>
        <v>2.3425098425147635</v>
      </c>
      <c r="I10" s="1">
        <f t="shared" si="5"/>
        <v>107.3728346456156</v>
      </c>
      <c r="J10" s="4">
        <f t="shared" si="6"/>
        <v>17.949239869234063</v>
      </c>
    </row>
    <row r="11" spans="1:10" ht="12.75">
      <c r="A11">
        <f t="shared" si="7"/>
        <v>500</v>
      </c>
      <c r="B11" s="1">
        <f t="shared" si="0"/>
        <v>86.24393618641035</v>
      </c>
      <c r="C11" s="1">
        <f t="shared" si="9"/>
        <v>86.11111111111109</v>
      </c>
      <c r="D11" s="1">
        <f t="shared" si="1"/>
        <v>463.8888888888889</v>
      </c>
      <c r="E11" s="4">
        <f t="shared" si="2"/>
        <v>3.162878787878788</v>
      </c>
      <c r="F11" s="4">
        <f t="shared" si="3"/>
        <v>0.6304862581228589</v>
      </c>
      <c r="G11" s="4">
        <f t="shared" si="8"/>
        <v>12.418235332245125</v>
      </c>
      <c r="H11" s="4">
        <f t="shared" si="4"/>
        <v>2.2493538553740016</v>
      </c>
      <c r="I11" s="1">
        <f t="shared" si="5"/>
        <v>110.78234188139946</v>
      </c>
      <c r="J11" s="4">
        <f t="shared" si="6"/>
        <v>18.46095423362077</v>
      </c>
    </row>
    <row r="12" spans="1:10" ht="12.75">
      <c r="A12">
        <f t="shared" si="7"/>
        <v>550</v>
      </c>
      <c r="B12" s="1">
        <f t="shared" si="0"/>
        <v>90.4534033733291</v>
      </c>
      <c r="C12" s="1">
        <f t="shared" si="9"/>
        <v>61.11111111111104</v>
      </c>
      <c r="D12" s="1">
        <f t="shared" si="1"/>
        <v>488.8888888888889</v>
      </c>
      <c r="E12" s="4">
        <f t="shared" si="2"/>
        <v>3.333333333333334</v>
      </c>
      <c r="F12" s="4">
        <f t="shared" si="3"/>
        <v>0.4375523453890831</v>
      </c>
      <c r="G12" s="4">
        <f t="shared" si="8"/>
        <v>13.024355095117889</v>
      </c>
      <c r="H12" s="4">
        <f t="shared" si="4"/>
        <v>2.166688355787444</v>
      </c>
      <c r="I12" s="1">
        <f t="shared" si="5"/>
        <v>114.09000361828303</v>
      </c>
      <c r="J12" s="4">
        <f t="shared" si="6"/>
        <v>18.961929129627748</v>
      </c>
    </row>
    <row r="13" spans="1:10" ht="12.75">
      <c r="A13">
        <f t="shared" si="7"/>
        <v>600</v>
      </c>
      <c r="B13" s="1">
        <f t="shared" si="0"/>
        <v>94.47549859466604</v>
      </c>
      <c r="C13" s="1">
        <f t="shared" si="9"/>
        <v>36.111111111111114</v>
      </c>
      <c r="D13" s="1">
        <f t="shared" si="1"/>
        <v>513.8888888888889</v>
      </c>
      <c r="E13" s="4">
        <f t="shared" si="2"/>
        <v>3.5037878787878793</v>
      </c>
      <c r="F13" s="4">
        <f t="shared" si="3"/>
        <v>0.25320631441114005</v>
      </c>
      <c r="G13" s="4">
        <f t="shared" si="8"/>
        <v>13.603495231756634</v>
      </c>
      <c r="H13" s="4">
        <f t="shared" si="4"/>
        <v>2.0926525459588974</v>
      </c>
      <c r="I13" s="1">
        <f t="shared" si="5"/>
        <v>117.30443545967219</v>
      </c>
      <c r="J13" s="4">
        <f t="shared" si="6"/>
        <v>19.45314197091455</v>
      </c>
    </row>
    <row r="14" spans="1:10" ht="12.75">
      <c r="A14">
        <f t="shared" si="7"/>
        <v>650</v>
      </c>
      <c r="B14" s="1">
        <f t="shared" si="0"/>
        <v>98.33321660356333</v>
      </c>
      <c r="C14" s="1">
        <f t="shared" si="9"/>
        <v>11.111111111111239</v>
      </c>
      <c r="D14" s="1">
        <f t="shared" si="1"/>
        <v>538.8888888888888</v>
      </c>
      <c r="E14" s="4">
        <f t="shared" si="2"/>
        <v>3.674242424242424</v>
      </c>
      <c r="F14" s="4">
        <f t="shared" si="3"/>
        <v>0.07639423900334741</v>
      </c>
      <c r="G14" s="4">
        <f t="shared" si="8"/>
        <v>14.158966748923724</v>
      </c>
      <c r="H14" s="4">
        <f t="shared" si="4"/>
        <v>2.0258228942498357</v>
      </c>
      <c r="I14" s="1">
        <f t="shared" si="5"/>
        <v>120.43310272265245</v>
      </c>
      <c r="J14" s="4">
        <f t="shared" si="6"/>
        <v>19.93542630641933</v>
      </c>
    </row>
    <row r="15" spans="1:2" ht="12.75">
      <c r="A15">
        <f t="shared" si="7"/>
        <v>700</v>
      </c>
      <c r="B15" s="1">
        <f t="shared" si="0"/>
        <v>102.04520145747114</v>
      </c>
    </row>
    <row r="16" spans="1:7" ht="12.75">
      <c r="A16">
        <f t="shared" si="7"/>
        <v>750</v>
      </c>
      <c r="B16" s="1">
        <f t="shared" si="0"/>
        <v>105.62681853292956</v>
      </c>
      <c r="D16" s="1" t="s">
        <v>46</v>
      </c>
      <c r="E16" s="11">
        <f>88/60</f>
        <v>1.4666666666666666</v>
      </c>
      <c r="F16" s="11" t="s">
        <v>48</v>
      </c>
      <c r="G16" s="10">
        <f>60/88</f>
        <v>0.6818181818181818</v>
      </c>
    </row>
    <row r="17" spans="1:7" ht="12.75">
      <c r="A17">
        <f t="shared" si="7"/>
        <v>800</v>
      </c>
      <c r="B17" s="1">
        <f t="shared" si="0"/>
        <v>109.0909090909091</v>
      </c>
      <c r="D17" s="1" t="s">
        <v>47</v>
      </c>
      <c r="E17" s="11">
        <f>88*88/3600</f>
        <v>2.151111111111111</v>
      </c>
      <c r="F17" s="11" t="s">
        <v>49</v>
      </c>
      <c r="G17" s="10">
        <f>3600/(88*88)</f>
        <v>0.46487603305785125</v>
      </c>
    </row>
    <row r="18" spans="1:6" ht="12.75">
      <c r="A18">
        <f t="shared" si="7"/>
        <v>850</v>
      </c>
      <c r="B18" s="1">
        <f t="shared" si="0"/>
        <v>112.44833524411801</v>
      </c>
      <c r="D18" t="s">
        <v>43</v>
      </c>
      <c r="E18">
        <v>32.1</v>
      </c>
      <c r="F18" t="s">
        <v>34</v>
      </c>
    </row>
    <row r="19" spans="1:6" ht="12.75">
      <c r="A19">
        <f t="shared" si="7"/>
        <v>900</v>
      </c>
      <c r="B19" s="1">
        <f t="shared" si="0"/>
        <v>115.7083823759805</v>
      </c>
      <c r="D19" s="1" t="s">
        <v>50</v>
      </c>
      <c r="E19">
        <v>650</v>
      </c>
      <c r="F19" t="s">
        <v>24</v>
      </c>
    </row>
    <row r="20" spans="1:6" ht="12.75">
      <c r="A20">
        <f t="shared" si="7"/>
        <v>950</v>
      </c>
      <c r="B20" s="1">
        <f t="shared" si="0"/>
        <v>118.87906209656384</v>
      </c>
      <c r="D20" s="1" t="s">
        <v>22</v>
      </c>
      <c r="E20">
        <v>200</v>
      </c>
      <c r="F20" t="s">
        <v>24</v>
      </c>
    </row>
    <row r="21" spans="1:6" ht="12.75">
      <c r="A21">
        <f t="shared" si="7"/>
        <v>1000</v>
      </c>
      <c r="B21" s="1">
        <f t="shared" si="0"/>
        <v>121.96734422726126</v>
      </c>
      <c r="D21" s="1" t="s">
        <v>51</v>
      </c>
      <c r="E21">
        <v>100</v>
      </c>
      <c r="F21" t="s">
        <v>24</v>
      </c>
    </row>
    <row r="24" spans="1:20" s="2" customFormat="1" ht="76.5">
      <c r="A24" s="2" t="s">
        <v>2</v>
      </c>
      <c r="B24" s="3" t="s">
        <v>1</v>
      </c>
      <c r="C24" s="3" t="s">
        <v>3</v>
      </c>
      <c r="E24" s="2" t="s">
        <v>12</v>
      </c>
      <c r="F24" s="2" t="s">
        <v>13</v>
      </c>
      <c r="G24" s="2" t="s">
        <v>14</v>
      </c>
      <c r="H24" s="3" t="s">
        <v>15</v>
      </c>
      <c r="I24" s="3" t="s">
        <v>4</v>
      </c>
      <c r="J24" s="2" t="s">
        <v>5</v>
      </c>
      <c r="K24" s="2" t="s">
        <v>6</v>
      </c>
      <c r="L24" s="2" t="s">
        <v>7</v>
      </c>
      <c r="M24" s="2" t="s">
        <v>52</v>
      </c>
      <c r="N24" s="2" t="s">
        <v>53</v>
      </c>
      <c r="O24" s="2" t="s">
        <v>60</v>
      </c>
      <c r="P24" s="2" t="s">
        <v>54</v>
      </c>
      <c r="Q24" s="2" t="s">
        <v>55</v>
      </c>
      <c r="R24" s="2" t="s">
        <v>56</v>
      </c>
      <c r="S24" s="2" t="s">
        <v>57</v>
      </c>
      <c r="T24" s="2" t="s">
        <v>58</v>
      </c>
    </row>
    <row r="25" spans="1:20" ht="12.75">
      <c r="A25">
        <v>100</v>
      </c>
      <c r="B25" s="1">
        <v>5</v>
      </c>
      <c r="C25" s="1">
        <f>(A25*A25-B25*B25)*fpspmph2/(2*g)</f>
        <v>334.22637590861893</v>
      </c>
      <c r="E25">
        <v>150</v>
      </c>
      <c r="F25" s="1">
        <f>ASIN((r_1-E25)/(E25-r_0))*180/PI()</f>
        <v>90</v>
      </c>
      <c r="G25" s="1">
        <f>(E25-r_0)*COS(F25*PI()/180)</f>
        <v>3.06287113727155E-15</v>
      </c>
      <c r="H25" s="1">
        <f>SQRT(g*E25)*mphpfps</f>
        <v>47.31150070726518</v>
      </c>
      <c r="I25" s="1">
        <f>(100*100-H25*H25)*fpspmph2/(2*g)</f>
        <v>260.06403599861545</v>
      </c>
      <c r="J25" s="1">
        <f>chute-I25-G25</f>
        <v>389.93596400138455</v>
      </c>
      <c r="K25" s="4">
        <f>J25/(100*fpspmph)</f>
        <v>2.6586543000094403</v>
      </c>
      <c r="L25" s="4">
        <f>(100-H25)*fpspmph/g</f>
        <v>2.4073665305091714</v>
      </c>
      <c r="M25" s="4">
        <f>(E25*(90+F25)*PI()/180)/(H25*fpspmph)</f>
        <v>6.7911447292825695</v>
      </c>
      <c r="N25" s="4">
        <f>(E25*(90-F25)*PI()/180)/(H25*fpspmph)</f>
        <v>0</v>
      </c>
      <c r="O25" s="4">
        <f>N25+M25+L25+K25</f>
        <v>11.85716555980118</v>
      </c>
      <c r="P25" s="4">
        <f>SQRT((chute-G25)*g+H25*H25*fpspmph2)*mphpfps</f>
        <v>109.26123067641888</v>
      </c>
      <c r="Q25" s="4">
        <f>(P25-H25)*fpspmph/(g/2)</f>
        <v>5.661034514315186</v>
      </c>
      <c r="R25" s="4">
        <f>Q25+N25+M25+L25+K25</f>
        <v>17.51820007411637</v>
      </c>
      <c r="S25" s="4">
        <f>N25+Q25</f>
        <v>5.661034514315186</v>
      </c>
      <c r="T25" s="4">
        <f>M25+L25+K25</f>
        <v>11.85716555980118</v>
      </c>
    </row>
    <row r="26" spans="1:20" ht="12.75">
      <c r="A26">
        <v>100</v>
      </c>
      <c r="B26" s="1">
        <f>B25+25</f>
        <v>30</v>
      </c>
      <c r="C26" s="1">
        <f>(A26*A26-B26*B26)*fpspmph2/(2*g)</f>
        <v>304.90827275874005</v>
      </c>
      <c r="E26">
        <v>151</v>
      </c>
      <c r="F26" s="1">
        <f aca="true" t="shared" si="10" ref="F26:F39">ASIN((r_1-E26)/(E26-r_0))*180/PI()</f>
        <v>73.90106604894322</v>
      </c>
      <c r="G26" s="1">
        <f aca="true" t="shared" si="11" ref="G26:G39">(E26-r_0)*COS(F26*PI()/180)</f>
        <v>14.142135623730933</v>
      </c>
      <c r="H26" s="1">
        <f aca="true" t="shared" si="12" ref="H26:H39">SQRT(g*E26)*mphpfps</f>
        <v>47.46894374045741</v>
      </c>
      <c r="I26" s="1">
        <f aca="true" t="shared" si="13" ref="I26:I39">(100*100-H26*H26)*fpspmph2/(2*g)</f>
        <v>259.56403599861545</v>
      </c>
      <c r="J26" s="1">
        <f aca="true" t="shared" si="14" ref="J26:J39">chute-I26-G26</f>
        <v>376.2938283776536</v>
      </c>
      <c r="K26" s="4">
        <f aca="true" t="shared" si="15" ref="K26:K39">J26/(100*fpspmph)</f>
        <v>2.5656397389385472</v>
      </c>
      <c r="L26" s="4">
        <f aca="true" t="shared" si="16" ref="L26:L39">(100-H26)*fpspmph/g</f>
        <v>2.4001728716717277</v>
      </c>
      <c r="M26" s="4">
        <f aca="true" t="shared" si="17" ref="M26:M39">(E26*(90+F26)*PI()/180)/(H26*fpspmph)</f>
        <v>6.2043330581318274</v>
      </c>
      <c r="N26" s="4">
        <f aca="true" t="shared" si="18" ref="N26:N39">(E26*(90-F26)*PI()/180)/(H26*fpspmph)</f>
        <v>0.609411216906886</v>
      </c>
      <c r="O26" s="4">
        <f aca="true" t="shared" si="19" ref="O26:O39">N26+M26+L26+K26</f>
        <v>11.779556885648988</v>
      </c>
      <c r="P26" s="4">
        <f aca="true" t="shared" si="20" ref="P26:P39">SQRT((chute-G26)*g+H26*H26*fpspmph2)*mphpfps</f>
        <v>108.36006062451592</v>
      </c>
      <c r="Q26" s="4">
        <f aca="true" t="shared" si="21" ref="Q26:Q39">(P26-H26)*fpspmph/(g/2)</f>
        <v>5.564297285355295</v>
      </c>
      <c r="R26" s="4">
        <f aca="true" t="shared" si="22" ref="R26:R39">Q26+N26+M26+L26+K26</f>
        <v>17.343854171004285</v>
      </c>
      <c r="S26" s="4">
        <f aca="true" t="shared" si="23" ref="S26:S39">N26+Q26</f>
        <v>6.173708502262181</v>
      </c>
      <c r="T26" s="4">
        <f aca="true" t="shared" si="24" ref="T26:T39">M26+L26+K26</f>
        <v>11.170145668742101</v>
      </c>
    </row>
    <row r="27" spans="1:20" ht="12.75">
      <c r="A27">
        <v>100</v>
      </c>
      <c r="B27" s="1">
        <f>B26+25</f>
        <v>55</v>
      </c>
      <c r="C27" s="1">
        <f>(A27*A27-B27*B27)*fpspmph2/(2*g)</f>
        <v>233.70716510903426</v>
      </c>
      <c r="E27">
        <v>152</v>
      </c>
      <c r="F27" s="1">
        <f t="shared" si="10"/>
        <v>67.38013505195958</v>
      </c>
      <c r="G27" s="1">
        <f t="shared" si="11"/>
        <v>19.999999999999993</v>
      </c>
      <c r="H27" s="1">
        <f t="shared" si="12"/>
        <v>47.62586629653961</v>
      </c>
      <c r="I27" s="1">
        <f t="shared" si="13"/>
        <v>259.06403599861545</v>
      </c>
      <c r="J27" s="1">
        <f t="shared" si="14"/>
        <v>370.93596400138455</v>
      </c>
      <c r="K27" s="4">
        <f t="shared" si="15"/>
        <v>2.529108845463986</v>
      </c>
      <c r="L27" s="4">
        <f t="shared" si="16"/>
        <v>2.3930029937198927</v>
      </c>
      <c r="M27" s="4">
        <f t="shared" si="17"/>
        <v>5.977183088506512</v>
      </c>
      <c r="N27" s="4">
        <f t="shared" si="18"/>
        <v>0.8590860224328225</v>
      </c>
      <c r="O27" s="4">
        <f t="shared" si="19"/>
        <v>11.758380950123213</v>
      </c>
      <c r="P27" s="4">
        <f t="shared" si="20"/>
        <v>108.02504874807875</v>
      </c>
      <c r="Q27" s="4">
        <f t="shared" si="21"/>
        <v>5.519343775426213</v>
      </c>
      <c r="R27" s="4">
        <f t="shared" si="22"/>
        <v>17.277724725549426</v>
      </c>
      <c r="S27" s="4">
        <f t="shared" si="23"/>
        <v>6.378429797859035</v>
      </c>
      <c r="T27" s="4">
        <f t="shared" si="24"/>
        <v>10.89929492769039</v>
      </c>
    </row>
    <row r="28" spans="1:20" ht="12.75">
      <c r="A28">
        <v>100</v>
      </c>
      <c r="B28" s="1">
        <f>B27+25</f>
        <v>80</v>
      </c>
      <c r="C28" s="1">
        <f>(A28*A28-B28*B28)*fpspmph2/(2*g)</f>
        <v>120.62305295950155</v>
      </c>
      <c r="E28">
        <v>153</v>
      </c>
      <c r="F28" s="1">
        <f t="shared" si="10"/>
        <v>62.47291471213317</v>
      </c>
      <c r="G28" s="1">
        <f t="shared" si="11"/>
        <v>24.49489742783178</v>
      </c>
      <c r="H28" s="1">
        <f t="shared" si="12"/>
        <v>47.78227350343457</v>
      </c>
      <c r="I28" s="1">
        <f t="shared" si="13"/>
        <v>258.5640359986154</v>
      </c>
      <c r="J28" s="1">
        <f t="shared" si="14"/>
        <v>366.9410665735528</v>
      </c>
      <c r="K28" s="4">
        <f t="shared" si="15"/>
        <v>2.501870908456042</v>
      </c>
      <c r="L28" s="4">
        <f t="shared" si="16"/>
        <v>2.3858566623560526</v>
      </c>
      <c r="M28" s="4">
        <f t="shared" si="17"/>
        <v>5.80982791936431</v>
      </c>
      <c r="N28" s="4">
        <f t="shared" si="18"/>
        <v>1.048892053687781</v>
      </c>
      <c r="O28" s="4">
        <f t="shared" si="19"/>
        <v>11.746447543864186</v>
      </c>
      <c r="P28" s="4">
        <f t="shared" si="20"/>
        <v>107.78338683651273</v>
      </c>
      <c r="Q28" s="4">
        <f t="shared" si="21"/>
        <v>5.482967781215865</v>
      </c>
      <c r="R28" s="4">
        <f t="shared" si="22"/>
        <v>17.22941532508005</v>
      </c>
      <c r="S28" s="4">
        <f t="shared" si="23"/>
        <v>6.531859834903646</v>
      </c>
      <c r="T28" s="4">
        <f t="shared" si="24"/>
        <v>10.697555490176406</v>
      </c>
    </row>
    <row r="29" spans="1:20" ht="12.75">
      <c r="A29">
        <v>100</v>
      </c>
      <c r="B29" s="1">
        <f>B28+25</f>
        <v>105</v>
      </c>
      <c r="C29" s="1">
        <f>(A29*A29-B29*B29)*fpspmph2/(2*g)</f>
        <v>-34.34406368985808</v>
      </c>
      <c r="E29">
        <v>154</v>
      </c>
      <c r="F29" s="1">
        <f t="shared" si="10"/>
        <v>58.41366190347208</v>
      </c>
      <c r="G29" s="1">
        <f t="shared" si="11"/>
        <v>28.2842712474619</v>
      </c>
      <c r="H29" s="1">
        <f t="shared" si="12"/>
        <v>47.938170405410574</v>
      </c>
      <c r="I29" s="1">
        <f t="shared" si="13"/>
        <v>258.06403599861545</v>
      </c>
      <c r="J29" s="1">
        <f t="shared" si="14"/>
        <v>363.65169275392265</v>
      </c>
      <c r="K29" s="4">
        <f t="shared" si="15"/>
        <v>2.4794433596858365</v>
      </c>
      <c r="L29" s="4">
        <f t="shared" si="16"/>
        <v>2.378733647104813</v>
      </c>
      <c r="M29" s="4">
        <f t="shared" si="17"/>
        <v>5.67360494761008</v>
      </c>
      <c r="N29" s="4">
        <f t="shared" si="18"/>
        <v>1.207492637826714</v>
      </c>
      <c r="O29" s="4">
        <f t="shared" si="19"/>
        <v>11.739274592227444</v>
      </c>
      <c r="P29" s="4">
        <f t="shared" si="20"/>
        <v>107.59012031545566</v>
      </c>
      <c r="Q29" s="4">
        <f t="shared" si="21"/>
        <v>5.451060843285532</v>
      </c>
      <c r="R29" s="4">
        <f t="shared" si="22"/>
        <v>17.190335435512978</v>
      </c>
      <c r="S29" s="4">
        <f t="shared" si="23"/>
        <v>6.658553481112246</v>
      </c>
      <c r="T29" s="4">
        <f t="shared" si="24"/>
        <v>10.53178195440073</v>
      </c>
    </row>
    <row r="30" spans="5:20" ht="12.75">
      <c r="E30">
        <f>E25+5</f>
        <v>155</v>
      </c>
      <c r="F30" s="1">
        <f t="shared" si="10"/>
        <v>54.90319877241541</v>
      </c>
      <c r="G30" s="1">
        <f t="shared" si="11"/>
        <v>31.622776601683793</v>
      </c>
      <c r="H30" s="1">
        <f t="shared" si="12"/>
        <v>48.09356196497966</v>
      </c>
      <c r="I30" s="1">
        <f t="shared" si="13"/>
        <v>257.5640359986154</v>
      </c>
      <c r="J30" s="1">
        <f t="shared" si="14"/>
        <v>360.81318739970084</v>
      </c>
      <c r="K30" s="4">
        <f t="shared" si="15"/>
        <v>2.4600899140888695</v>
      </c>
      <c r="L30" s="4">
        <f t="shared" si="16"/>
        <v>2.371633721226267</v>
      </c>
      <c r="M30" s="4">
        <f t="shared" si="17"/>
        <v>5.557361821714177</v>
      </c>
      <c r="N30" s="4">
        <f t="shared" si="18"/>
        <v>1.3460408387036924</v>
      </c>
      <c r="O30" s="4">
        <f t="shared" si="19"/>
        <v>11.735126295733007</v>
      </c>
      <c r="P30" s="4">
        <f t="shared" si="20"/>
        <v>107.42782505026166</v>
      </c>
      <c r="Q30" s="4">
        <f t="shared" si="21"/>
        <v>5.422030271552248</v>
      </c>
      <c r="R30" s="4">
        <f t="shared" si="22"/>
        <v>17.157156567285252</v>
      </c>
      <c r="S30" s="4">
        <f t="shared" si="23"/>
        <v>6.76807111025594</v>
      </c>
      <c r="T30" s="4">
        <f t="shared" si="24"/>
        <v>10.389085457029314</v>
      </c>
    </row>
    <row r="31" spans="2:20" s="7" customFormat="1" ht="12.75">
      <c r="B31" s="8"/>
      <c r="C31" s="8"/>
      <c r="E31" s="7">
        <f aca="true" t="shared" si="25" ref="E31:E39">E30+5</f>
        <v>160</v>
      </c>
      <c r="F31" s="8">
        <f t="shared" si="10"/>
        <v>41.810314895778596</v>
      </c>
      <c r="G31" s="8">
        <f t="shared" si="11"/>
        <v>44.721359549995796</v>
      </c>
      <c r="H31" s="8">
        <f t="shared" si="12"/>
        <v>48.86310781955159</v>
      </c>
      <c r="I31" s="8">
        <f t="shared" si="13"/>
        <v>255.06403599861545</v>
      </c>
      <c r="J31" s="8">
        <f t="shared" si="14"/>
        <v>350.21460445138877</v>
      </c>
      <c r="K31" s="9">
        <f t="shared" si="15"/>
        <v>2.387826848532196</v>
      </c>
      <c r="L31" s="9">
        <f t="shared" si="16"/>
        <v>2.3364727476009657</v>
      </c>
      <c r="M31" s="9">
        <f t="shared" si="17"/>
        <v>5.136109099324932</v>
      </c>
      <c r="N31" s="9">
        <f t="shared" si="18"/>
        <v>1.8777550175272473</v>
      </c>
      <c r="O31" s="4">
        <f t="shared" si="19"/>
        <v>11.73816371298534</v>
      </c>
      <c r="P31" s="9">
        <f t="shared" si="20"/>
        <v>106.8638681859184</v>
      </c>
      <c r="Q31" s="9">
        <f t="shared" si="21"/>
        <v>5.3001733252754715</v>
      </c>
      <c r="R31" s="9">
        <f t="shared" si="22"/>
        <v>17.038337038260813</v>
      </c>
      <c r="S31" s="9">
        <f t="shared" si="23"/>
        <v>7.177928342802719</v>
      </c>
      <c r="T31" s="9">
        <f t="shared" si="24"/>
        <v>9.860408695458094</v>
      </c>
    </row>
    <row r="32" spans="5:20" ht="12.75">
      <c r="E32">
        <f t="shared" si="25"/>
        <v>165</v>
      </c>
      <c r="F32" s="1">
        <f t="shared" si="10"/>
        <v>32.57897039280412</v>
      </c>
      <c r="G32" s="1">
        <f t="shared" si="11"/>
        <v>54.77225575051661</v>
      </c>
      <c r="H32" s="1">
        <f t="shared" si="12"/>
        <v>49.620720561988094</v>
      </c>
      <c r="I32" s="1">
        <f t="shared" si="13"/>
        <v>252.56403599861545</v>
      </c>
      <c r="J32" s="1">
        <f t="shared" si="14"/>
        <v>342.66370825086796</v>
      </c>
      <c r="K32" s="4">
        <f t="shared" si="15"/>
        <v>2.336343465346827</v>
      </c>
      <c r="L32" s="4">
        <f t="shared" si="16"/>
        <v>2.301857004436681</v>
      </c>
      <c r="M32" s="4">
        <f t="shared" si="17"/>
        <v>4.850458494319439</v>
      </c>
      <c r="N32" s="4">
        <f t="shared" si="18"/>
        <v>2.27215418695621</v>
      </c>
      <c r="O32" s="4">
        <f t="shared" si="19"/>
        <v>11.760813151059157</v>
      </c>
      <c r="P32" s="4">
        <f t="shared" si="20"/>
        <v>106.51062961389212</v>
      </c>
      <c r="Q32" s="4">
        <f t="shared" si="21"/>
        <v>5.198662509415944</v>
      </c>
      <c r="R32" s="4">
        <f t="shared" si="22"/>
        <v>16.9594756604751</v>
      </c>
      <c r="S32" s="4">
        <f t="shared" si="23"/>
        <v>7.470816696372154</v>
      </c>
      <c r="T32" s="4">
        <f t="shared" si="24"/>
        <v>9.488658964102948</v>
      </c>
    </row>
    <row r="33" spans="5:20" ht="12.75">
      <c r="E33">
        <f t="shared" si="25"/>
        <v>170</v>
      </c>
      <c r="F33" s="1">
        <f t="shared" si="10"/>
        <v>25.376933525152296</v>
      </c>
      <c r="G33" s="1">
        <f t="shared" si="11"/>
        <v>63.24555320336759</v>
      </c>
      <c r="H33" s="1">
        <f t="shared" si="12"/>
        <v>50.36693868398887</v>
      </c>
      <c r="I33" s="1">
        <f t="shared" si="13"/>
        <v>250.06403599861542</v>
      </c>
      <c r="J33" s="1">
        <f t="shared" si="14"/>
        <v>336.690410798017</v>
      </c>
      <c r="K33" s="4">
        <f t="shared" si="15"/>
        <v>2.295616437259207</v>
      </c>
      <c r="L33" s="4">
        <f t="shared" si="16"/>
        <v>2.267761887751287</v>
      </c>
      <c r="M33" s="4">
        <f t="shared" si="17"/>
        <v>4.634130975851928</v>
      </c>
      <c r="N33" s="4">
        <f t="shared" si="18"/>
        <v>2.595594673525838</v>
      </c>
      <c r="O33" s="4">
        <f t="shared" si="19"/>
        <v>11.793103974388261</v>
      </c>
      <c r="P33" s="4">
        <f t="shared" si="20"/>
        <v>106.26704036409973</v>
      </c>
      <c r="Q33" s="4">
        <f t="shared" si="21"/>
        <v>5.108212822273889</v>
      </c>
      <c r="R33" s="4">
        <f t="shared" si="22"/>
        <v>16.901316796662147</v>
      </c>
      <c r="S33" s="4">
        <f t="shared" si="23"/>
        <v>7.703807495799727</v>
      </c>
      <c r="T33" s="4">
        <f t="shared" si="24"/>
        <v>9.197509300862421</v>
      </c>
    </row>
    <row r="34" spans="5:20" ht="12.75">
      <c r="E34">
        <f t="shared" si="25"/>
        <v>175</v>
      </c>
      <c r="F34" s="1">
        <f t="shared" si="10"/>
        <v>19.47122063449069</v>
      </c>
      <c r="G34" s="1">
        <f t="shared" si="11"/>
        <v>70.71067811865476</v>
      </c>
      <c r="H34" s="1">
        <f t="shared" si="12"/>
        <v>51.102261356054285</v>
      </c>
      <c r="I34" s="1">
        <f t="shared" si="13"/>
        <v>247.56403599861545</v>
      </c>
      <c r="J34" s="1">
        <f t="shared" si="14"/>
        <v>331.7252858827298</v>
      </c>
      <c r="K34" s="4">
        <f t="shared" si="15"/>
        <v>2.261763312836794</v>
      </c>
      <c r="L34" s="4">
        <f t="shared" si="16"/>
        <v>2.2341645901698977</v>
      </c>
      <c r="M34" s="4">
        <f t="shared" si="17"/>
        <v>4.461119289461985</v>
      </c>
      <c r="N34" s="4">
        <f t="shared" si="18"/>
        <v>2.8741553831779454</v>
      </c>
      <c r="O34" s="4">
        <f t="shared" si="19"/>
        <v>11.831202575646621</v>
      </c>
      <c r="P34" s="4">
        <f t="shared" si="20"/>
        <v>106.09381692758771</v>
      </c>
      <c r="Q34" s="4">
        <f t="shared" si="21"/>
        <v>5.025188878810946</v>
      </c>
      <c r="R34" s="4">
        <f t="shared" si="22"/>
        <v>16.85639145445757</v>
      </c>
      <c r="S34" s="4">
        <f t="shared" si="23"/>
        <v>7.899344261988891</v>
      </c>
      <c r="T34" s="4">
        <f t="shared" si="24"/>
        <v>8.957047192468677</v>
      </c>
    </row>
    <row r="35" spans="5:20" ht="12.75">
      <c r="E35">
        <f t="shared" si="25"/>
        <v>180</v>
      </c>
      <c r="F35" s="1">
        <f t="shared" si="10"/>
        <v>14.477512185929923</v>
      </c>
      <c r="G35" s="1">
        <f t="shared" si="11"/>
        <v>77.45966692414834</v>
      </c>
      <c r="H35" s="1">
        <f t="shared" si="12"/>
        <v>51.827152333581516</v>
      </c>
      <c r="I35" s="1">
        <f t="shared" si="13"/>
        <v>245.06403599861545</v>
      </c>
      <c r="J35" s="1">
        <f t="shared" si="14"/>
        <v>327.4762970772362</v>
      </c>
      <c r="K35" s="4">
        <f t="shared" si="15"/>
        <v>2.2327929346175197</v>
      </c>
      <c r="L35" s="4">
        <f t="shared" si="16"/>
        <v>2.201043922453181</v>
      </c>
      <c r="M35" s="4">
        <f t="shared" si="17"/>
        <v>4.31801281194778</v>
      </c>
      <c r="N35" s="4">
        <f t="shared" si="18"/>
        <v>3.121313507072977</v>
      </c>
      <c r="O35" s="4">
        <f t="shared" si="19"/>
        <v>11.873163176091458</v>
      </c>
      <c r="P35" s="4">
        <f t="shared" si="20"/>
        <v>105.97074439994456</v>
      </c>
      <c r="Q35" s="4">
        <f t="shared" si="21"/>
        <v>4.947701040332241</v>
      </c>
      <c r="R35" s="4">
        <f t="shared" si="22"/>
        <v>16.820864216423697</v>
      </c>
      <c r="S35" s="4">
        <f t="shared" si="23"/>
        <v>8.069014547405217</v>
      </c>
      <c r="T35" s="4">
        <f t="shared" si="24"/>
        <v>8.75184966901848</v>
      </c>
    </row>
    <row r="36" spans="5:20" ht="12.75">
      <c r="E36">
        <f t="shared" si="25"/>
        <v>185</v>
      </c>
      <c r="F36" s="1">
        <f t="shared" si="10"/>
        <v>10.164248621723482</v>
      </c>
      <c r="G36" s="1">
        <f t="shared" si="11"/>
        <v>83.66600265340755</v>
      </c>
      <c r="H36" s="1">
        <f t="shared" si="12"/>
        <v>52.5420433777946</v>
      </c>
      <c r="I36" s="1">
        <f t="shared" si="13"/>
        <v>242.56403599861542</v>
      </c>
      <c r="J36" s="1">
        <f t="shared" si="14"/>
        <v>323.7699613479771</v>
      </c>
      <c r="K36" s="4">
        <f t="shared" si="15"/>
        <v>2.2075224637362076</v>
      </c>
      <c r="L36" s="4">
        <f t="shared" si="16"/>
        <v>2.1683801571931856</v>
      </c>
      <c r="M36" s="4">
        <f t="shared" si="17"/>
        <v>4.196850055951493</v>
      </c>
      <c r="N36" s="4">
        <f t="shared" si="18"/>
        <v>3.3450925080486473</v>
      </c>
      <c r="O36" s="4">
        <f t="shared" si="19"/>
        <v>11.917845184929533</v>
      </c>
      <c r="P36" s="4">
        <f t="shared" si="20"/>
        <v>105.88577382648825</v>
      </c>
      <c r="Q36" s="4">
        <f t="shared" si="21"/>
        <v>4.874608805280415</v>
      </c>
      <c r="R36" s="4">
        <f t="shared" si="22"/>
        <v>16.79245399020995</v>
      </c>
      <c r="S36" s="4">
        <f t="shared" si="23"/>
        <v>8.219701313329063</v>
      </c>
      <c r="T36" s="4">
        <f t="shared" si="24"/>
        <v>8.572752676880885</v>
      </c>
    </row>
    <row r="37" spans="5:20" ht="12.75">
      <c r="E37">
        <f t="shared" si="25"/>
        <v>190</v>
      </c>
      <c r="F37" s="1">
        <f t="shared" si="10"/>
        <v>6.379370208442803</v>
      </c>
      <c r="G37" s="1">
        <f t="shared" si="11"/>
        <v>89.44271909999158</v>
      </c>
      <c r="H37" s="1">
        <f t="shared" si="12"/>
        <v>53.24733726318936</v>
      </c>
      <c r="I37" s="1">
        <f t="shared" si="13"/>
        <v>240.06403599861545</v>
      </c>
      <c r="J37" s="1">
        <f t="shared" si="14"/>
        <v>320.493244901393</v>
      </c>
      <c r="K37" s="4">
        <f t="shared" si="15"/>
        <v>2.1851812152367707</v>
      </c>
      <c r="L37" s="4">
        <f t="shared" si="16"/>
        <v>2.1361548914015245</v>
      </c>
      <c r="M37" s="4">
        <f t="shared" si="17"/>
        <v>4.092472181063858</v>
      </c>
      <c r="N37" s="4">
        <f t="shared" si="18"/>
        <v>3.550709041207343</v>
      </c>
      <c r="O37" s="4">
        <f t="shared" si="19"/>
        <v>11.964517328909496</v>
      </c>
      <c r="P37" s="4">
        <f t="shared" si="20"/>
        <v>105.8310282082349</v>
      </c>
      <c r="Q37" s="4">
        <f t="shared" si="21"/>
        <v>4.805155558841128</v>
      </c>
      <c r="R37" s="4">
        <f t="shared" si="22"/>
        <v>16.769672887750623</v>
      </c>
      <c r="S37" s="4">
        <f t="shared" si="23"/>
        <v>8.355864600048472</v>
      </c>
      <c r="T37" s="4">
        <f t="shared" si="24"/>
        <v>8.413808287702153</v>
      </c>
    </row>
    <row r="38" spans="5:20" ht="12.75">
      <c r="E38">
        <f t="shared" si="25"/>
        <v>195</v>
      </c>
      <c r="F38" s="1">
        <f t="shared" si="10"/>
        <v>3.016961309815992</v>
      </c>
      <c r="G38" s="1">
        <f t="shared" si="11"/>
        <v>94.86832980505139</v>
      </c>
      <c r="H38" s="1">
        <f t="shared" si="12"/>
        <v>53.943410430984244</v>
      </c>
      <c r="I38" s="1">
        <f t="shared" si="13"/>
        <v>237.56403599861542</v>
      </c>
      <c r="J38" s="1">
        <f t="shared" si="14"/>
        <v>317.5676341963332</v>
      </c>
      <c r="K38" s="4">
        <f t="shared" si="15"/>
        <v>2.1652338695204536</v>
      </c>
      <c r="L38" s="4">
        <f t="shared" si="16"/>
        <v>2.104350925271748</v>
      </c>
      <c r="M38" s="4">
        <f t="shared" si="17"/>
        <v>4.001329397874337</v>
      </c>
      <c r="N38" s="4">
        <f t="shared" si="18"/>
        <v>3.7417669307451873</v>
      </c>
      <c r="O38" s="4">
        <f t="shared" si="19"/>
        <v>12.012681123411724</v>
      </c>
      <c r="P38" s="4">
        <f t="shared" si="20"/>
        <v>105.8010177033867</v>
      </c>
      <c r="Q38" s="4">
        <f t="shared" si="21"/>
        <v>4.738805233615178</v>
      </c>
      <c r="R38" s="4">
        <f t="shared" si="22"/>
        <v>16.751486357026906</v>
      </c>
      <c r="S38" s="4">
        <f t="shared" si="23"/>
        <v>8.480572164360366</v>
      </c>
      <c r="T38" s="4">
        <f t="shared" si="24"/>
        <v>8.270914192666538</v>
      </c>
    </row>
    <row r="39" spans="5:20" ht="12.75">
      <c r="E39">
        <f t="shared" si="25"/>
        <v>200</v>
      </c>
      <c r="F39" s="1">
        <f t="shared" si="10"/>
        <v>0</v>
      </c>
      <c r="G39" s="1">
        <f t="shared" si="11"/>
        <v>100</v>
      </c>
      <c r="H39" s="1">
        <f t="shared" si="12"/>
        <v>54.63061533820944</v>
      </c>
      <c r="I39" s="1">
        <f t="shared" si="13"/>
        <v>235.06403599861545</v>
      </c>
      <c r="J39" s="1">
        <f t="shared" si="14"/>
        <v>314.93596400138455</v>
      </c>
      <c r="K39" s="4">
        <f t="shared" si="15"/>
        <v>2.147290663645804</v>
      </c>
      <c r="L39" s="4">
        <f t="shared" si="16"/>
        <v>2.0729521548481666</v>
      </c>
      <c r="M39" s="4">
        <f t="shared" si="17"/>
        <v>3.9208692375570005</v>
      </c>
      <c r="N39" s="4">
        <f t="shared" si="18"/>
        <v>3.9208692375570005</v>
      </c>
      <c r="O39" s="4">
        <f t="shared" si="19"/>
        <v>12.061981293607971</v>
      </c>
      <c r="P39" s="4">
        <f t="shared" si="20"/>
        <v>105.79173169897432</v>
      </c>
      <c r="Q39" s="4">
        <f t="shared" si="21"/>
        <v>4.6751591274634565</v>
      </c>
      <c r="R39" s="4">
        <f t="shared" si="22"/>
        <v>16.73714042107143</v>
      </c>
      <c r="S39" s="4">
        <f t="shared" si="23"/>
        <v>8.596028365020457</v>
      </c>
      <c r="T39" s="4">
        <f t="shared" si="24"/>
        <v>8.141112056050972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E24">
      <selection activeCell="O45" sqref="O45"/>
    </sheetView>
  </sheetViews>
  <sheetFormatPr defaultColWidth="9.140625" defaultRowHeight="12.75"/>
  <sheetData>
    <row r="1" spans="1:3" s="14" customFormat="1" ht="51">
      <c r="A1" s="5" t="s">
        <v>12</v>
      </c>
      <c r="B1" s="5" t="s">
        <v>13</v>
      </c>
      <c r="C1" s="5" t="s">
        <v>14</v>
      </c>
    </row>
    <row r="2" spans="1:3" ht="12.75">
      <c r="A2">
        <v>150</v>
      </c>
      <c r="B2" s="1">
        <f>ASIN((r_1-A2)/(A2-r_0))*180/PI()</f>
        <v>90</v>
      </c>
      <c r="C2" s="1">
        <f>(A2-r_0)*COS(B2*PI()/180)</f>
        <v>3.06287113727155E-15</v>
      </c>
    </row>
    <row r="3" spans="1:3" ht="12.75">
      <c r="A3">
        <v>151</v>
      </c>
      <c r="B3" s="1">
        <f aca="true" t="shared" si="0" ref="B3:B16">ASIN((r_1-A3)/(A3-r_0))*180/PI()</f>
        <v>73.90106604894322</v>
      </c>
      <c r="C3" s="1">
        <f aca="true" t="shared" si="1" ref="C3:C16">(A3-r_0)*COS(B3*PI()/180)</f>
        <v>14.142135623730933</v>
      </c>
    </row>
    <row r="4" spans="1:3" ht="12.75">
      <c r="A4">
        <v>152</v>
      </c>
      <c r="B4" s="1">
        <f t="shared" si="0"/>
        <v>67.38013505195958</v>
      </c>
      <c r="C4" s="1">
        <f t="shared" si="1"/>
        <v>19.999999999999993</v>
      </c>
    </row>
    <row r="5" spans="1:3" ht="12.75">
      <c r="A5">
        <v>153</v>
      </c>
      <c r="B5" s="1">
        <f t="shared" si="0"/>
        <v>62.47291471213317</v>
      </c>
      <c r="C5" s="1">
        <f t="shared" si="1"/>
        <v>24.49489742783178</v>
      </c>
    </row>
    <row r="6" spans="1:3" ht="12.75">
      <c r="A6">
        <v>154</v>
      </c>
      <c r="B6" s="1">
        <f t="shared" si="0"/>
        <v>58.41366190347208</v>
      </c>
      <c r="C6" s="1">
        <f t="shared" si="1"/>
        <v>28.2842712474619</v>
      </c>
    </row>
    <row r="7" spans="1:3" ht="12.75">
      <c r="A7">
        <f>A2+5</f>
        <v>155</v>
      </c>
      <c r="B7" s="1">
        <f t="shared" si="0"/>
        <v>54.90319877241541</v>
      </c>
      <c r="C7" s="1">
        <f t="shared" si="1"/>
        <v>31.622776601683793</v>
      </c>
    </row>
    <row r="8" spans="1:3" ht="12.75">
      <c r="A8" s="12">
        <f aca="true" t="shared" si="2" ref="A8:A16">A7+5</f>
        <v>160</v>
      </c>
      <c r="B8" s="13">
        <f t="shared" si="0"/>
        <v>41.810314895778596</v>
      </c>
      <c r="C8" s="13">
        <f t="shared" si="1"/>
        <v>44.721359549995796</v>
      </c>
    </row>
    <row r="9" spans="1:3" ht="12.75">
      <c r="A9">
        <f t="shared" si="2"/>
        <v>165</v>
      </c>
      <c r="B9" s="1">
        <f t="shared" si="0"/>
        <v>32.57897039280412</v>
      </c>
      <c r="C9" s="1">
        <f t="shared" si="1"/>
        <v>54.77225575051661</v>
      </c>
    </row>
    <row r="10" spans="1:3" ht="12.75">
      <c r="A10">
        <f t="shared" si="2"/>
        <v>170</v>
      </c>
      <c r="B10" s="1">
        <f t="shared" si="0"/>
        <v>25.376933525152296</v>
      </c>
      <c r="C10" s="1">
        <f t="shared" si="1"/>
        <v>63.24555320336759</v>
      </c>
    </row>
    <row r="11" spans="1:3" ht="12.75">
      <c r="A11">
        <f t="shared" si="2"/>
        <v>175</v>
      </c>
      <c r="B11" s="1">
        <f t="shared" si="0"/>
        <v>19.47122063449069</v>
      </c>
      <c r="C11" s="1">
        <f t="shared" si="1"/>
        <v>70.71067811865476</v>
      </c>
    </row>
    <row r="12" spans="1:3" ht="12.75">
      <c r="A12">
        <f t="shared" si="2"/>
        <v>180</v>
      </c>
      <c r="B12" s="1">
        <f t="shared" si="0"/>
        <v>14.477512185929923</v>
      </c>
      <c r="C12" s="1">
        <f t="shared" si="1"/>
        <v>77.45966692414834</v>
      </c>
    </row>
    <row r="13" spans="1:3" ht="12.75">
      <c r="A13">
        <f t="shared" si="2"/>
        <v>185</v>
      </c>
      <c r="B13" s="1">
        <f t="shared" si="0"/>
        <v>10.164248621723482</v>
      </c>
      <c r="C13" s="1">
        <f t="shared" si="1"/>
        <v>83.66600265340755</v>
      </c>
    </row>
    <row r="14" spans="1:3" ht="12.75">
      <c r="A14">
        <f t="shared" si="2"/>
        <v>190</v>
      </c>
      <c r="B14" s="1">
        <f t="shared" si="0"/>
        <v>6.379370208442803</v>
      </c>
      <c r="C14" s="1">
        <f t="shared" si="1"/>
        <v>89.44271909999158</v>
      </c>
    </row>
    <row r="15" spans="1:3" ht="12.75">
      <c r="A15">
        <f t="shared" si="2"/>
        <v>195</v>
      </c>
      <c r="B15" s="1">
        <f t="shared" si="0"/>
        <v>3.016961309815992</v>
      </c>
      <c r="C15" s="1">
        <f t="shared" si="1"/>
        <v>94.86832980505139</v>
      </c>
    </row>
    <row r="16" spans="1:3" ht="12.75">
      <c r="A16">
        <f t="shared" si="2"/>
        <v>200</v>
      </c>
      <c r="B16" s="1">
        <f t="shared" si="0"/>
        <v>0</v>
      </c>
      <c r="C16" s="1">
        <f t="shared" si="1"/>
        <v>100</v>
      </c>
    </row>
    <row r="19" spans="1:11" ht="76.5">
      <c r="A19" s="2" t="s">
        <v>12</v>
      </c>
      <c r="B19" s="2" t="s">
        <v>13</v>
      </c>
      <c r="C19" s="2" t="s">
        <v>14</v>
      </c>
      <c r="D19" s="3" t="s">
        <v>15</v>
      </c>
      <c r="E19" s="3" t="s">
        <v>4</v>
      </c>
      <c r="F19" s="2" t="s">
        <v>5</v>
      </c>
      <c r="G19" s="2" t="s">
        <v>6</v>
      </c>
      <c r="H19" s="2" t="s">
        <v>7</v>
      </c>
      <c r="I19" s="2" t="s">
        <v>52</v>
      </c>
      <c r="J19" s="2" t="s">
        <v>59</v>
      </c>
      <c r="K19" s="2"/>
    </row>
    <row r="20" spans="1:11" ht="12.75">
      <c r="A20">
        <v>150</v>
      </c>
      <c r="B20" s="1">
        <f>ASIN((r_1-A20)/(A20-r_0))*180/PI()</f>
        <v>90</v>
      </c>
      <c r="C20" s="1">
        <f>(A20-r_0)*COS(B20*PI()/180)</f>
        <v>3.06287113727155E-15</v>
      </c>
      <c r="D20" s="1">
        <f>SQRT(g*A20)*mphpfps</f>
        <v>47.23774929733302</v>
      </c>
      <c r="E20" s="1">
        <f>(100*100-D20*D20)*fpspmph2/(2*g)</f>
        <v>261.11111111111114</v>
      </c>
      <c r="F20" s="1">
        <f>chute-E20-C20</f>
        <v>388.88888888888886</v>
      </c>
      <c r="G20" s="4">
        <f>F20/(100*fpspmph)</f>
        <v>2.6515151515151514</v>
      </c>
      <c r="H20" s="4">
        <f>(100-D20)*fpspmph/g</f>
        <v>2.4182698238722367</v>
      </c>
      <c r="I20" s="4">
        <f>(A20*(90+B20)*PI()/180)/(D20*fpspmph)</f>
        <v>6.801747615878317</v>
      </c>
      <c r="J20" s="4">
        <f>I20+H20+G20</f>
        <v>11.871532591265705</v>
      </c>
      <c r="K20" s="4"/>
    </row>
    <row r="21" spans="1:11" ht="12.75">
      <c r="A21">
        <v>151</v>
      </c>
      <c r="B21" s="1">
        <f aca="true" t="shared" si="3" ref="B21:B34">ASIN((r_1-A21)/(A21-r_0))*180/PI()</f>
        <v>73.90106604894322</v>
      </c>
      <c r="C21" s="1">
        <f aca="true" t="shared" si="4" ref="C21:C34">(A21-r_0)*COS(B21*PI()/180)</f>
        <v>14.142135623730933</v>
      </c>
      <c r="D21" s="1">
        <f aca="true" t="shared" si="5" ref="D21:D34">SQRT(g*A21)*mphpfps</f>
        <v>47.39494690086209</v>
      </c>
      <c r="E21" s="1">
        <f aca="true" t="shared" si="6" ref="E21:E34">(100*100-D21*D21)*fpspmph2/(2*g)</f>
        <v>260.61111111111114</v>
      </c>
      <c r="F21" s="1">
        <f aca="true" t="shared" si="7" ref="F21:F34">chute-E21-C21</f>
        <v>375.2467532651579</v>
      </c>
      <c r="G21" s="4">
        <f aca="true" t="shared" si="8" ref="G21:G34">F21/(100*fpspmph)</f>
        <v>2.558500590444259</v>
      </c>
      <c r="H21" s="4">
        <f aca="true" t="shared" si="9" ref="H21:H34">(100-D21)*fpspmph/g</f>
        <v>2.4110649337104872</v>
      </c>
      <c r="I21" s="4">
        <f aca="true" t="shared" si="10" ref="I21:I34">(A21*(90+B21)*PI()/180)/(D21*fpspmph)</f>
        <v>6.21401976669717</v>
      </c>
      <c r="J21" s="4">
        <f aca="true" t="shared" si="11" ref="J21:J34">I21+H21+G21</f>
        <v>11.183585290851918</v>
      </c>
      <c r="K21" s="4"/>
    </row>
    <row r="22" spans="1:11" ht="12.75">
      <c r="A22">
        <v>152</v>
      </c>
      <c r="B22" s="1">
        <f t="shared" si="3"/>
        <v>67.38013505195958</v>
      </c>
      <c r="C22" s="1">
        <f t="shared" si="4"/>
        <v>19.999999999999993</v>
      </c>
      <c r="D22" s="1">
        <f t="shared" si="5"/>
        <v>47.55162483862553</v>
      </c>
      <c r="E22" s="1">
        <f t="shared" si="6"/>
        <v>260.1111111111111</v>
      </c>
      <c r="F22" s="1">
        <f t="shared" si="7"/>
        <v>369.8888888888889</v>
      </c>
      <c r="G22" s="4">
        <f t="shared" si="8"/>
        <v>2.5219696969696974</v>
      </c>
      <c r="H22" s="4">
        <f t="shared" si="9"/>
        <v>2.4038838615629965</v>
      </c>
      <c r="I22" s="4">
        <f t="shared" si="10"/>
        <v>5.986515152094582</v>
      </c>
      <c r="J22" s="4">
        <f t="shared" si="11"/>
        <v>10.912368710627277</v>
      </c>
      <c r="K22" s="4"/>
    </row>
    <row r="23" spans="1:11" ht="12.75">
      <c r="A23">
        <v>153</v>
      </c>
      <c r="B23" s="1">
        <f t="shared" si="3"/>
        <v>62.47291471213317</v>
      </c>
      <c r="C23" s="1">
        <f t="shared" si="4"/>
        <v>24.49489742783178</v>
      </c>
      <c r="D23" s="1">
        <f t="shared" si="5"/>
        <v>47.70778823055245</v>
      </c>
      <c r="E23" s="1">
        <f t="shared" si="6"/>
        <v>259.61111111111114</v>
      </c>
      <c r="F23" s="1">
        <f t="shared" si="7"/>
        <v>365.89399146105706</v>
      </c>
      <c r="G23" s="4">
        <f t="shared" si="8"/>
        <v>2.494731759961753</v>
      </c>
      <c r="H23" s="4">
        <f t="shared" si="9"/>
        <v>2.396726372766346</v>
      </c>
      <c r="I23" s="4">
        <f t="shared" si="10"/>
        <v>5.818898694472993</v>
      </c>
      <c r="J23" s="4">
        <f t="shared" si="11"/>
        <v>10.710356827201092</v>
      </c>
      <c r="K23" s="4"/>
    </row>
    <row r="24" spans="1:11" ht="12.75">
      <c r="A24">
        <v>154</v>
      </c>
      <c r="B24" s="1">
        <f t="shared" si="3"/>
        <v>58.41366190347208</v>
      </c>
      <c r="C24" s="1">
        <f t="shared" si="4"/>
        <v>28.2842712474619</v>
      </c>
      <c r="D24" s="1">
        <f t="shared" si="5"/>
        <v>47.86344211304794</v>
      </c>
      <c r="E24" s="1">
        <f t="shared" si="6"/>
        <v>259.11111111111114</v>
      </c>
      <c r="F24" s="1">
        <f t="shared" si="7"/>
        <v>362.60461764142696</v>
      </c>
      <c r="G24" s="4">
        <f t="shared" si="8"/>
        <v>2.4723042111915476</v>
      </c>
      <c r="H24" s="4">
        <f t="shared" si="9"/>
        <v>2.389592236485303</v>
      </c>
      <c r="I24" s="4">
        <f t="shared" si="10"/>
        <v>5.682463040353885</v>
      </c>
      <c r="J24" s="4">
        <f t="shared" si="11"/>
        <v>10.544359488030734</v>
      </c>
      <c r="K24" s="4"/>
    </row>
    <row r="25" spans="1:11" ht="12.75">
      <c r="A25">
        <f>A20+5</f>
        <v>155</v>
      </c>
      <c r="B25" s="1">
        <f t="shared" si="3"/>
        <v>54.90319877241541</v>
      </c>
      <c r="C25" s="1">
        <f t="shared" si="4"/>
        <v>31.622776601683793</v>
      </c>
      <c r="D25" s="1">
        <f t="shared" si="5"/>
        <v>48.0185914408882</v>
      </c>
      <c r="E25" s="1">
        <f t="shared" si="6"/>
        <v>258.61111111111114</v>
      </c>
      <c r="F25" s="1">
        <f t="shared" si="7"/>
        <v>359.7661122872051</v>
      </c>
      <c r="G25" s="4">
        <f t="shared" si="8"/>
        <v>2.45295076559458</v>
      </c>
      <c r="H25" s="4">
        <f t="shared" si="9"/>
        <v>2.3824812256259573</v>
      </c>
      <c r="I25" s="4">
        <f t="shared" si="10"/>
        <v>5.566038426250832</v>
      </c>
      <c r="J25" s="4">
        <f t="shared" si="11"/>
        <v>10.40147041747137</v>
      </c>
      <c r="K25" s="4"/>
    </row>
    <row r="26" spans="1:11" ht="12.75">
      <c r="A26" s="12">
        <f aca="true" t="shared" si="12" ref="A26:A34">A25+5</f>
        <v>160</v>
      </c>
      <c r="B26" s="13">
        <f t="shared" si="3"/>
        <v>41.810314895778596</v>
      </c>
      <c r="C26" s="13">
        <f t="shared" si="4"/>
        <v>44.721359549995796</v>
      </c>
      <c r="D26" s="13">
        <f t="shared" si="5"/>
        <v>48.7869376909045</v>
      </c>
      <c r="E26" s="13">
        <f t="shared" si="6"/>
        <v>256.11111111111114</v>
      </c>
      <c r="F26" s="13">
        <f t="shared" si="7"/>
        <v>349.1675293388931</v>
      </c>
      <c r="G26" s="15">
        <f t="shared" si="8"/>
        <v>2.3806877000379076</v>
      </c>
      <c r="H26" s="15">
        <f t="shared" si="9"/>
        <v>2.3472653558335437</v>
      </c>
      <c r="I26" s="15">
        <f t="shared" si="10"/>
        <v>5.144128009905457</v>
      </c>
      <c r="J26" s="4">
        <f t="shared" si="11"/>
        <v>9.872081065776907</v>
      </c>
      <c r="K26" s="4"/>
    </row>
    <row r="27" spans="1:11" ht="12.75">
      <c r="A27">
        <f t="shared" si="12"/>
        <v>165</v>
      </c>
      <c r="B27" s="1">
        <f t="shared" si="3"/>
        <v>32.57897039280412</v>
      </c>
      <c r="C27" s="1">
        <f t="shared" si="4"/>
        <v>54.77225575051661</v>
      </c>
      <c r="D27" s="1">
        <f t="shared" si="5"/>
        <v>49.54336943068622</v>
      </c>
      <c r="E27" s="1">
        <f t="shared" si="6"/>
        <v>253.61111111111114</v>
      </c>
      <c r="F27" s="1">
        <f t="shared" si="7"/>
        <v>341.61663313837226</v>
      </c>
      <c r="G27" s="4">
        <f t="shared" si="8"/>
        <v>2.3292043168525383</v>
      </c>
      <c r="H27" s="4">
        <f t="shared" si="9"/>
        <v>2.312595567760215</v>
      </c>
      <c r="I27" s="4">
        <f t="shared" si="10"/>
        <v>4.8580314239804565</v>
      </c>
      <c r="J27" s="4">
        <f t="shared" si="11"/>
        <v>9.49983130859321</v>
      </c>
      <c r="K27" s="4"/>
    </row>
    <row r="28" spans="1:11" ht="12.75">
      <c r="A28">
        <f t="shared" si="12"/>
        <v>170</v>
      </c>
      <c r="B28" s="1">
        <f t="shared" si="3"/>
        <v>25.376933525152296</v>
      </c>
      <c r="C28" s="1">
        <f t="shared" si="4"/>
        <v>63.24555320336759</v>
      </c>
      <c r="D28" s="1">
        <f t="shared" si="5"/>
        <v>50.288424312506656</v>
      </c>
      <c r="E28" s="1">
        <f t="shared" si="6"/>
        <v>251.11111111111114</v>
      </c>
      <c r="F28" s="1">
        <f t="shared" si="7"/>
        <v>335.64333568552127</v>
      </c>
      <c r="G28" s="4">
        <f t="shared" si="8"/>
        <v>2.288477288764918</v>
      </c>
      <c r="H28" s="4">
        <f t="shared" si="9"/>
        <v>2.2784472190101113</v>
      </c>
      <c r="I28" s="4">
        <f t="shared" si="10"/>
        <v>4.641366157425209</v>
      </c>
      <c r="J28" s="4">
        <f t="shared" si="11"/>
        <v>9.208290665200238</v>
      </c>
      <c r="K28" s="4"/>
    </row>
    <row r="29" spans="1:11" ht="12.75">
      <c r="A29">
        <f t="shared" si="12"/>
        <v>175</v>
      </c>
      <c r="B29" s="1">
        <f t="shared" si="3"/>
        <v>19.47122063449069</v>
      </c>
      <c r="C29" s="1">
        <f t="shared" si="4"/>
        <v>70.71067811865476</v>
      </c>
      <c r="D29" s="1">
        <f t="shared" si="5"/>
        <v>51.02260072873556</v>
      </c>
      <c r="E29" s="1">
        <f t="shared" si="6"/>
        <v>248.61111111111114</v>
      </c>
      <c r="F29" s="1">
        <f t="shared" si="7"/>
        <v>330.6782107702341</v>
      </c>
      <c r="G29" s="4">
        <f t="shared" si="8"/>
        <v>2.2546241643425056</v>
      </c>
      <c r="H29" s="4">
        <f t="shared" si="9"/>
        <v>2.24479746659962</v>
      </c>
      <c r="I29" s="4">
        <f t="shared" si="10"/>
        <v>4.468084351141838</v>
      </c>
      <c r="J29" s="4">
        <f t="shared" si="11"/>
        <v>8.967505982083964</v>
      </c>
      <c r="K29" s="4"/>
    </row>
    <row r="30" spans="1:11" ht="12.75">
      <c r="A30">
        <f t="shared" si="12"/>
        <v>180</v>
      </c>
      <c r="B30" s="1">
        <f t="shared" si="3"/>
        <v>14.477512185929923</v>
      </c>
      <c r="C30" s="1">
        <f t="shared" si="4"/>
        <v>77.45966692414834</v>
      </c>
      <c r="D30" s="1">
        <f t="shared" si="5"/>
        <v>51.746361711846205</v>
      </c>
      <c r="E30" s="1">
        <f t="shared" si="6"/>
        <v>246.11111111111114</v>
      </c>
      <c r="F30" s="1">
        <f t="shared" si="7"/>
        <v>326.4292219647405</v>
      </c>
      <c r="G30" s="4">
        <f t="shared" si="8"/>
        <v>2.225653786123231</v>
      </c>
      <c r="H30" s="4">
        <f t="shared" si="9"/>
        <v>2.211625088207049</v>
      </c>
      <c r="I30" s="4">
        <f t="shared" si="10"/>
        <v>4.32475444417462</v>
      </c>
      <c r="J30" s="4">
        <f t="shared" si="11"/>
        <v>8.762033318504901</v>
      </c>
      <c r="K30" s="4"/>
    </row>
    <row r="31" spans="1:11" ht="12.75">
      <c r="A31">
        <f t="shared" si="12"/>
        <v>185</v>
      </c>
      <c r="B31" s="1">
        <f t="shared" si="3"/>
        <v>10.164248621723482</v>
      </c>
      <c r="C31" s="1">
        <f t="shared" si="4"/>
        <v>83.66600265340755</v>
      </c>
      <c r="D31" s="1">
        <f t="shared" si="5"/>
        <v>52.46013835001275</v>
      </c>
      <c r="E31" s="1">
        <f t="shared" si="6"/>
        <v>243.61111111111114</v>
      </c>
      <c r="F31" s="1">
        <f t="shared" si="7"/>
        <v>322.7228862354813</v>
      </c>
      <c r="G31" s="4">
        <f t="shared" si="8"/>
        <v>2.2003833152419183</v>
      </c>
      <c r="H31" s="4">
        <f t="shared" si="9"/>
        <v>2.1789103256244156</v>
      </c>
      <c r="I31" s="4">
        <f t="shared" si="10"/>
        <v>4.203402519045195</v>
      </c>
      <c r="J31" s="4">
        <f t="shared" si="11"/>
        <v>8.582696159911528</v>
      </c>
      <c r="K31" s="4"/>
    </row>
    <row r="32" spans="1:11" ht="12.75">
      <c r="A32">
        <f t="shared" si="12"/>
        <v>190</v>
      </c>
      <c r="B32" s="1">
        <f t="shared" si="3"/>
        <v>6.379370208442803</v>
      </c>
      <c r="C32" s="1">
        <f t="shared" si="4"/>
        <v>89.44271909999158</v>
      </c>
      <c r="D32" s="1">
        <f t="shared" si="5"/>
        <v>53.16433278986707</v>
      </c>
      <c r="E32" s="1">
        <f t="shared" si="6"/>
        <v>241.11111111111114</v>
      </c>
      <c r="F32" s="1">
        <f t="shared" si="7"/>
        <v>319.4461697888973</v>
      </c>
      <c r="G32" s="4">
        <f t="shared" si="8"/>
        <v>2.178042066742482</v>
      </c>
      <c r="H32" s="4">
        <f t="shared" si="9"/>
        <v>2.1466347471310927</v>
      </c>
      <c r="I32" s="4">
        <f t="shared" si="10"/>
        <v>4.098861680943749</v>
      </c>
      <c r="J32" s="4">
        <f t="shared" si="11"/>
        <v>8.423538494817324</v>
      </c>
      <c r="K32" s="4"/>
    </row>
    <row r="33" spans="1:11" ht="12.75">
      <c r="A33">
        <f t="shared" si="12"/>
        <v>195</v>
      </c>
      <c r="B33" s="1">
        <f t="shared" si="3"/>
        <v>3.016961309815992</v>
      </c>
      <c r="C33" s="1">
        <f t="shared" si="4"/>
        <v>94.86832980505139</v>
      </c>
      <c r="D33" s="1">
        <f t="shared" si="5"/>
        <v>53.85932088581317</v>
      </c>
      <c r="E33" s="1">
        <f t="shared" si="6"/>
        <v>238.61111111111114</v>
      </c>
      <c r="F33" s="1">
        <f t="shared" si="7"/>
        <v>316.5205590838375</v>
      </c>
      <c r="G33" s="4">
        <f t="shared" si="8"/>
        <v>2.1580947210261647</v>
      </c>
      <c r="H33" s="4">
        <f t="shared" si="9"/>
        <v>2.1147811260668963</v>
      </c>
      <c r="I33" s="4">
        <f t="shared" si="10"/>
        <v>4.007576598240273</v>
      </c>
      <c r="J33" s="4">
        <f t="shared" si="11"/>
        <v>8.280452445333333</v>
      </c>
      <c r="K33" s="4"/>
    </row>
    <row r="34" spans="1:11" ht="12.75">
      <c r="A34">
        <f t="shared" si="12"/>
        <v>200</v>
      </c>
      <c r="B34" s="1">
        <f t="shared" si="3"/>
        <v>0</v>
      </c>
      <c r="C34" s="1">
        <f t="shared" si="4"/>
        <v>100</v>
      </c>
      <c r="D34" s="1">
        <f t="shared" si="5"/>
        <v>54.54545454545454</v>
      </c>
      <c r="E34" s="1">
        <f t="shared" si="6"/>
        <v>236.11111111111114</v>
      </c>
      <c r="F34" s="1">
        <f t="shared" si="7"/>
        <v>313.88888888888886</v>
      </c>
      <c r="G34" s="4">
        <f t="shared" si="8"/>
        <v>2.140151515151515</v>
      </c>
      <c r="H34" s="4">
        <f t="shared" si="9"/>
        <v>2.0833333333333335</v>
      </c>
      <c r="I34" s="4">
        <f t="shared" si="10"/>
        <v>3.9269908169872423</v>
      </c>
      <c r="J34" s="4">
        <f t="shared" si="11"/>
        <v>8.150475665472092</v>
      </c>
      <c r="K34" s="4"/>
    </row>
    <row r="36" spans="1:17" ht="76.5">
      <c r="A36" s="2" t="s">
        <v>12</v>
      </c>
      <c r="B36" s="2" t="s">
        <v>13</v>
      </c>
      <c r="C36" s="2" t="s">
        <v>14</v>
      </c>
      <c r="D36" s="3" t="s">
        <v>15</v>
      </c>
      <c r="E36" s="3" t="s">
        <v>4</v>
      </c>
      <c r="F36" s="2" t="s">
        <v>5</v>
      </c>
      <c r="G36" s="2" t="s">
        <v>6</v>
      </c>
      <c r="H36" s="2" t="s">
        <v>7</v>
      </c>
      <c r="I36" s="2" t="s">
        <v>52</v>
      </c>
      <c r="J36" s="2" t="s">
        <v>53</v>
      </c>
      <c r="K36" s="2" t="s">
        <v>61</v>
      </c>
      <c r="L36" s="2" t="s">
        <v>60</v>
      </c>
      <c r="M36" s="2" t="s">
        <v>54</v>
      </c>
      <c r="N36" s="2" t="s">
        <v>55</v>
      </c>
      <c r="O36" s="2" t="s">
        <v>56</v>
      </c>
      <c r="P36" s="2" t="s">
        <v>57</v>
      </c>
      <c r="Q36" s="2" t="s">
        <v>58</v>
      </c>
    </row>
    <row r="37" spans="1:17" ht="12.75">
      <c r="A37">
        <v>150</v>
      </c>
      <c r="B37" s="1">
        <f>ASIN((r_1-A37)/(A37-r_0))*180/PI()</f>
        <v>90</v>
      </c>
      <c r="C37" s="1">
        <f>(A37-r_0)*COS(B37*PI()/180)</f>
        <v>3.06287113727155E-15</v>
      </c>
      <c r="D37" s="1">
        <f>SQRT(g*A37)*mphpfps</f>
        <v>47.23774929733302</v>
      </c>
      <c r="E37" s="1">
        <f>(100*100-D37*D37)*fpspmph2/(2*g)</f>
        <v>261.11111111111114</v>
      </c>
      <c r="F37" s="1">
        <f>chute-E37-C37</f>
        <v>388.88888888888886</v>
      </c>
      <c r="G37" s="4">
        <f>F37/(100*fpspmph)</f>
        <v>2.6515151515151514</v>
      </c>
      <c r="H37" s="4">
        <f>(100-D37)*fpspmph/g</f>
        <v>2.4182698238722367</v>
      </c>
      <c r="I37" s="4">
        <f>(A37*(90+B37)*PI()/180)/(D37*fpspmph)</f>
        <v>6.801747615878317</v>
      </c>
      <c r="J37" s="4">
        <f>(A37*(90-B37)*PI()/180)/(D37*fpspmph)</f>
        <v>0</v>
      </c>
      <c r="K37" s="4">
        <f>I37+J37</f>
        <v>6.801747615878317</v>
      </c>
      <c r="L37" s="4">
        <f>J37+I37+H37+G37</f>
        <v>11.871532591265705</v>
      </c>
      <c r="M37" s="4">
        <f>SQRT((chute-C37)*g+D37*D37*fpspmph2)*mphpfps</f>
        <v>109.09090909090908</v>
      </c>
      <c r="N37" s="4">
        <f>(M37-D37)*fpspmph/(g/2)</f>
        <v>5.6698729810778055</v>
      </c>
      <c r="O37" s="4">
        <f>N37+J37+I37+H37+G37</f>
        <v>17.54140557234351</v>
      </c>
      <c r="P37" s="4">
        <f>J37+N37</f>
        <v>5.6698729810778055</v>
      </c>
      <c r="Q37" s="4">
        <f>I37+H37+G37</f>
        <v>11.871532591265705</v>
      </c>
    </row>
    <row r="38" spans="1:17" ht="12.75">
      <c r="A38">
        <v>151</v>
      </c>
      <c r="B38" s="1">
        <f aca="true" t="shared" si="13" ref="B38:B52">ASIN((r_1-A38)/(A38-r_0))*180/PI()</f>
        <v>73.90106604894322</v>
      </c>
      <c r="C38" s="1">
        <f aca="true" t="shared" si="14" ref="C38:C52">(A38-r_0)*COS(B38*PI()/180)</f>
        <v>14.142135623730933</v>
      </c>
      <c r="D38" s="1">
        <f aca="true" t="shared" si="15" ref="D38:D52">SQRT(g*A38)*mphpfps</f>
        <v>47.39494690086209</v>
      </c>
      <c r="E38" s="1">
        <f aca="true" t="shared" si="16" ref="E38:E52">(100*100-D38*D38)*fpspmph2/(2*g)</f>
        <v>260.61111111111114</v>
      </c>
      <c r="F38" s="1">
        <f aca="true" t="shared" si="17" ref="F38:F52">chute-E38-C38</f>
        <v>375.2467532651579</v>
      </c>
      <c r="G38" s="4">
        <f aca="true" t="shared" si="18" ref="G38:G52">F38/(100*fpspmph)</f>
        <v>2.558500590444259</v>
      </c>
      <c r="H38" s="4">
        <f aca="true" t="shared" si="19" ref="H38:H52">(100-D38)*fpspmph/g</f>
        <v>2.4110649337104872</v>
      </c>
      <c r="I38" s="4">
        <f aca="true" t="shared" si="20" ref="I38:I52">(A38*(90+B38)*PI()/180)/(D38*fpspmph)</f>
        <v>6.21401976669717</v>
      </c>
      <c r="J38" s="4">
        <f aca="true" t="shared" si="21" ref="J38:J52">(A38*(90-B38)*PI()/180)/(D38*fpspmph)</f>
        <v>0.6103626791832206</v>
      </c>
      <c r="K38" s="4">
        <f aca="true" t="shared" si="22" ref="K38:K52">I38+J38</f>
        <v>6.82438244588039</v>
      </c>
      <c r="L38" s="4">
        <f aca="true" t="shared" si="23" ref="L38:L52">J38+I38+H38+G38</f>
        <v>11.793947970035136</v>
      </c>
      <c r="M38" s="4">
        <f aca="true" t="shared" si="24" ref="M38:M52">SQRT((chute-C38)*g+D38*D38*fpspmph2)*mphpfps</f>
        <v>108.19114382559971</v>
      </c>
      <c r="N38" s="4">
        <f aca="true" t="shared" si="25" ref="N38:N52">(M38-D38)*fpspmph/(g/2)</f>
        <v>5.572984718100948</v>
      </c>
      <c r="O38" s="4">
        <f aca="true" t="shared" si="26" ref="O38:O52">N38+J38+I38+H38+G38</f>
        <v>17.366932688136085</v>
      </c>
      <c r="P38" s="4">
        <f aca="true" t="shared" si="27" ref="P38:P52">J38+N38</f>
        <v>6.1833473972841695</v>
      </c>
      <c r="Q38" s="4">
        <f aca="true" t="shared" si="28" ref="Q38:Q52">I38+H38+G38</f>
        <v>11.183585290851918</v>
      </c>
    </row>
    <row r="39" spans="1:17" ht="12.75">
      <c r="A39">
        <v>152</v>
      </c>
      <c r="B39" s="1">
        <f t="shared" si="13"/>
        <v>67.38013505195958</v>
      </c>
      <c r="C39" s="1">
        <f t="shared" si="14"/>
        <v>19.999999999999993</v>
      </c>
      <c r="D39" s="1">
        <f t="shared" si="15"/>
        <v>47.55162483862553</v>
      </c>
      <c r="E39" s="1">
        <f t="shared" si="16"/>
        <v>260.1111111111111</v>
      </c>
      <c r="F39" s="1">
        <f t="shared" si="17"/>
        <v>369.8888888888889</v>
      </c>
      <c r="G39" s="4">
        <f t="shared" si="18"/>
        <v>2.5219696969696974</v>
      </c>
      <c r="H39" s="4">
        <f t="shared" si="19"/>
        <v>2.4038838615629965</v>
      </c>
      <c r="I39" s="4">
        <f t="shared" si="20"/>
        <v>5.986515152094582</v>
      </c>
      <c r="J39" s="4">
        <f t="shared" si="21"/>
        <v>0.8604272972892647</v>
      </c>
      <c r="K39" s="4">
        <f t="shared" si="22"/>
        <v>6.846942449383847</v>
      </c>
      <c r="L39" s="4">
        <f t="shared" si="23"/>
        <v>11.77279600791654</v>
      </c>
      <c r="M39" s="4">
        <f t="shared" si="24"/>
        <v>107.85665418155557</v>
      </c>
      <c r="N39" s="4">
        <f t="shared" si="25"/>
        <v>5.52796102310192</v>
      </c>
      <c r="O39" s="4">
        <f t="shared" si="26"/>
        <v>17.30075703101846</v>
      </c>
      <c r="P39" s="4">
        <f t="shared" si="27"/>
        <v>6.388388320391185</v>
      </c>
      <c r="Q39" s="4">
        <f t="shared" si="28"/>
        <v>10.912368710627277</v>
      </c>
    </row>
    <row r="40" spans="1:17" ht="12.75">
      <c r="A40">
        <v>153</v>
      </c>
      <c r="B40" s="1">
        <f t="shared" si="13"/>
        <v>62.47291471213317</v>
      </c>
      <c r="C40" s="1">
        <f t="shared" si="14"/>
        <v>24.49489742783178</v>
      </c>
      <c r="D40" s="1">
        <f t="shared" si="15"/>
        <v>47.70778823055245</v>
      </c>
      <c r="E40" s="1">
        <f t="shared" si="16"/>
        <v>259.61111111111114</v>
      </c>
      <c r="F40" s="1">
        <f t="shared" si="17"/>
        <v>365.89399146105706</v>
      </c>
      <c r="G40" s="4">
        <f t="shared" si="18"/>
        <v>2.494731759961753</v>
      </c>
      <c r="H40" s="4">
        <f t="shared" si="19"/>
        <v>2.396726372766346</v>
      </c>
      <c r="I40" s="4">
        <f t="shared" si="20"/>
        <v>5.818898694472993</v>
      </c>
      <c r="J40" s="4">
        <f t="shared" si="21"/>
        <v>1.0505296691325647</v>
      </c>
      <c r="K40" s="4">
        <f t="shared" si="22"/>
        <v>6.869428363605557</v>
      </c>
      <c r="L40" s="4">
        <f t="shared" si="23"/>
        <v>11.760886496333654</v>
      </c>
      <c r="M40" s="4">
        <f t="shared" si="24"/>
        <v>107.6153689840324</v>
      </c>
      <c r="N40" s="4">
        <f t="shared" si="25"/>
        <v>5.491528235735662</v>
      </c>
      <c r="O40" s="4">
        <f t="shared" si="26"/>
        <v>17.252414732069315</v>
      </c>
      <c r="P40" s="4">
        <f t="shared" si="27"/>
        <v>6.542057904868226</v>
      </c>
      <c r="Q40" s="4">
        <f t="shared" si="28"/>
        <v>10.710356827201092</v>
      </c>
    </row>
    <row r="41" spans="1:17" ht="12.75">
      <c r="A41">
        <v>154</v>
      </c>
      <c r="B41" s="1">
        <f t="shared" si="13"/>
        <v>58.41366190347208</v>
      </c>
      <c r="C41" s="1">
        <f t="shared" si="14"/>
        <v>28.2842712474619</v>
      </c>
      <c r="D41" s="1">
        <f t="shared" si="15"/>
        <v>47.86344211304794</v>
      </c>
      <c r="E41" s="1">
        <f t="shared" si="16"/>
        <v>259.11111111111114</v>
      </c>
      <c r="F41" s="1">
        <f t="shared" si="17"/>
        <v>362.60461764142696</v>
      </c>
      <c r="G41" s="4">
        <f t="shared" si="18"/>
        <v>2.4723042111915476</v>
      </c>
      <c r="H41" s="4">
        <f t="shared" si="19"/>
        <v>2.389592236485303</v>
      </c>
      <c r="I41" s="4">
        <f t="shared" si="20"/>
        <v>5.682463040353885</v>
      </c>
      <c r="J41" s="4">
        <f t="shared" si="21"/>
        <v>1.209377873381903</v>
      </c>
      <c r="K41" s="4">
        <f t="shared" si="22"/>
        <v>6.891840913735788</v>
      </c>
      <c r="L41" s="4">
        <f t="shared" si="23"/>
        <v>11.753737361412638</v>
      </c>
      <c r="M41" s="4">
        <f t="shared" si="24"/>
        <v>107.42240373598945</v>
      </c>
      <c r="N41" s="4">
        <f t="shared" si="25"/>
        <v>5.459571482102971</v>
      </c>
      <c r="O41" s="4">
        <f t="shared" si="26"/>
        <v>17.21330884351561</v>
      </c>
      <c r="P41" s="4">
        <f t="shared" si="27"/>
        <v>6.668949355484874</v>
      </c>
      <c r="Q41" s="4">
        <f t="shared" si="28"/>
        <v>10.544359488030734</v>
      </c>
    </row>
    <row r="42" spans="1:17" ht="12.75">
      <c r="A42">
        <f>A37+5</f>
        <v>155</v>
      </c>
      <c r="B42" s="1">
        <f t="shared" si="13"/>
        <v>54.90319877241541</v>
      </c>
      <c r="C42" s="1">
        <f t="shared" si="14"/>
        <v>31.622776601683793</v>
      </c>
      <c r="D42" s="1">
        <f t="shared" si="15"/>
        <v>48.0185914408882</v>
      </c>
      <c r="E42" s="1">
        <f t="shared" si="16"/>
        <v>258.61111111111114</v>
      </c>
      <c r="F42" s="1">
        <f t="shared" si="17"/>
        <v>359.7661122872051</v>
      </c>
      <c r="G42" s="4">
        <f t="shared" si="18"/>
        <v>2.45295076559458</v>
      </c>
      <c r="H42" s="4">
        <f t="shared" si="19"/>
        <v>2.3824812256259573</v>
      </c>
      <c r="I42" s="4">
        <f t="shared" si="20"/>
        <v>5.566038426250832</v>
      </c>
      <c r="J42" s="4">
        <f t="shared" si="21"/>
        <v>1.3481423869602744</v>
      </c>
      <c r="K42" s="4">
        <f t="shared" si="22"/>
        <v>6.9141808132111064</v>
      </c>
      <c r="L42" s="4">
        <f t="shared" si="23"/>
        <v>11.749612804431642</v>
      </c>
      <c r="M42" s="4">
        <f t="shared" si="24"/>
        <v>107.26036146434784</v>
      </c>
      <c r="N42" s="4">
        <f t="shared" si="25"/>
        <v>5.4304955854838</v>
      </c>
      <c r="O42" s="4">
        <f t="shared" si="26"/>
        <v>17.180108389915443</v>
      </c>
      <c r="P42" s="4">
        <f t="shared" si="27"/>
        <v>6.778637972444074</v>
      </c>
      <c r="Q42" s="4">
        <f t="shared" si="28"/>
        <v>10.40147041747137</v>
      </c>
    </row>
    <row r="43" spans="1:17" s="12" customFormat="1" ht="12.75">
      <c r="A43" s="12">
        <f aca="true" t="shared" si="29" ref="A43:A52">A42+5</f>
        <v>160</v>
      </c>
      <c r="B43" s="13">
        <f t="shared" si="13"/>
        <v>41.810314895778596</v>
      </c>
      <c r="C43" s="13">
        <f t="shared" si="14"/>
        <v>44.721359549995796</v>
      </c>
      <c r="D43" s="13">
        <f t="shared" si="15"/>
        <v>48.7869376909045</v>
      </c>
      <c r="E43" s="13">
        <f t="shared" si="16"/>
        <v>256.11111111111114</v>
      </c>
      <c r="F43" s="13">
        <f t="shared" si="17"/>
        <v>349.1675293388931</v>
      </c>
      <c r="G43" s="15">
        <f t="shared" si="18"/>
        <v>2.3806877000379076</v>
      </c>
      <c r="H43" s="15">
        <f t="shared" si="19"/>
        <v>2.3472653558335437</v>
      </c>
      <c r="I43" s="15">
        <f t="shared" si="20"/>
        <v>5.144128009905457</v>
      </c>
      <c r="J43" s="15">
        <f t="shared" si="21"/>
        <v>1.8806867211352691</v>
      </c>
      <c r="K43" s="4">
        <f t="shared" si="22"/>
        <v>7.024814731040726</v>
      </c>
      <c r="L43" s="15">
        <f t="shared" si="23"/>
        <v>11.752767786912177</v>
      </c>
      <c r="M43" s="15">
        <f t="shared" si="24"/>
        <v>106.69728372269705</v>
      </c>
      <c r="N43" s="15">
        <f t="shared" si="25"/>
        <v>5.30844838624765</v>
      </c>
      <c r="O43" s="15">
        <f t="shared" si="26"/>
        <v>17.061216173159828</v>
      </c>
      <c r="P43" s="15">
        <f t="shared" si="27"/>
        <v>7.189135107382919</v>
      </c>
      <c r="Q43" s="15">
        <f t="shared" si="28"/>
        <v>9.872081065776907</v>
      </c>
    </row>
    <row r="44" spans="1:17" ht="12.75">
      <c r="A44">
        <f t="shared" si="29"/>
        <v>165</v>
      </c>
      <c r="B44" s="1">
        <f t="shared" si="13"/>
        <v>32.57897039280412</v>
      </c>
      <c r="C44" s="1">
        <f t="shared" si="14"/>
        <v>54.77225575051661</v>
      </c>
      <c r="D44" s="1">
        <f t="shared" si="15"/>
        <v>49.54336943068622</v>
      </c>
      <c r="E44" s="1">
        <f t="shared" si="16"/>
        <v>253.61111111111114</v>
      </c>
      <c r="F44" s="1">
        <f t="shared" si="17"/>
        <v>341.61663313837226</v>
      </c>
      <c r="G44" s="4">
        <f t="shared" si="18"/>
        <v>2.3292043168525383</v>
      </c>
      <c r="H44" s="4">
        <f t="shared" si="19"/>
        <v>2.312595567760215</v>
      </c>
      <c r="I44" s="4">
        <f t="shared" si="20"/>
        <v>4.8580314239804565</v>
      </c>
      <c r="J44" s="4">
        <f t="shared" si="21"/>
        <v>2.275701658572957</v>
      </c>
      <c r="K44" s="4">
        <f t="shared" si="22"/>
        <v>7.133733082553413</v>
      </c>
      <c r="L44" s="4">
        <f t="shared" si="23"/>
        <v>11.775532967166166</v>
      </c>
      <c r="M44" s="4">
        <f t="shared" si="24"/>
        <v>106.34459579570083</v>
      </c>
      <c r="N44" s="4">
        <f t="shared" si="25"/>
        <v>5.206779083459672</v>
      </c>
      <c r="O44" s="4">
        <f t="shared" si="26"/>
        <v>16.98231205062584</v>
      </c>
      <c r="P44" s="4">
        <f t="shared" si="27"/>
        <v>7.482480742032629</v>
      </c>
      <c r="Q44" s="4">
        <f t="shared" si="28"/>
        <v>9.49983130859321</v>
      </c>
    </row>
    <row r="45" spans="1:17" ht="12.75">
      <c r="A45">
        <v>167.5</v>
      </c>
      <c r="B45" s="1">
        <f t="shared" si="13"/>
        <v>28.782204680581383</v>
      </c>
      <c r="C45" s="1">
        <f t="shared" si="14"/>
        <v>59.16079783099616</v>
      </c>
      <c r="D45" s="1">
        <f t="shared" si="15"/>
        <v>49.917286957426704</v>
      </c>
      <c r="E45" s="1">
        <f t="shared" si="16"/>
        <v>252.36111111111114</v>
      </c>
      <c r="F45" s="1">
        <f>chute-E45-C45</f>
        <v>338.4780910578927</v>
      </c>
      <c r="G45" s="4">
        <f t="shared" si="18"/>
        <v>2.307805166303814</v>
      </c>
      <c r="H45" s="4">
        <f>(100-D45)*fpspmph/g</f>
        <v>2.295457681117943</v>
      </c>
      <c r="I45" s="4">
        <f>(A45*(90+B45)*PI()/180)/(D45*fpspmph)</f>
        <v>4.743087821034298</v>
      </c>
      <c r="J45" s="4">
        <f>(A45*(90-B45)*PI()/180)/(D45*fpspmph)</f>
        <v>2.444485520292531</v>
      </c>
      <c r="K45" s="4">
        <f>I45+J45</f>
        <v>7.1875733413268295</v>
      </c>
      <c r="L45" s="4">
        <f>J45+I45+H45+G45</f>
        <v>11.790836188748585</v>
      </c>
      <c r="M45" s="4">
        <f>SQRT((chute-C45)*g+D45*D45*fpspmph2)*mphpfps</f>
        <v>106.21242413451749</v>
      </c>
      <c r="N45" s="4">
        <f>(M45-D45)*fpspmph/(g/2)</f>
        <v>5.160387574566655</v>
      </c>
      <c r="O45" s="4">
        <f>N45+J45+I45+H45+G45</f>
        <v>16.95122376331524</v>
      </c>
      <c r="P45" s="4">
        <f>J45+N45</f>
        <v>7.604873094859186</v>
      </c>
      <c r="Q45" s="4">
        <f>I45+H45+G45</f>
        <v>9.346350668456054</v>
      </c>
    </row>
    <row r="46" spans="1:17" ht="12.75">
      <c r="A46">
        <f>A44+5</f>
        <v>170</v>
      </c>
      <c r="B46" s="1">
        <f t="shared" si="13"/>
        <v>25.376933525152296</v>
      </c>
      <c r="C46" s="1">
        <f t="shared" si="14"/>
        <v>63.24555320336759</v>
      </c>
      <c r="D46" s="1">
        <f t="shared" si="15"/>
        <v>50.288424312506656</v>
      </c>
      <c r="E46" s="1">
        <f t="shared" si="16"/>
        <v>251.11111111111114</v>
      </c>
      <c r="F46" s="1">
        <f t="shared" si="17"/>
        <v>335.64333568552127</v>
      </c>
      <c r="G46" s="4">
        <f t="shared" si="18"/>
        <v>2.288477288764918</v>
      </c>
      <c r="H46" s="4">
        <f t="shared" si="19"/>
        <v>2.2784472190101113</v>
      </c>
      <c r="I46" s="4">
        <f t="shared" si="20"/>
        <v>4.641366157425209</v>
      </c>
      <c r="J46" s="4">
        <f t="shared" si="21"/>
        <v>2.5996471266937484</v>
      </c>
      <c r="K46" s="4">
        <f t="shared" si="22"/>
        <v>7.241013284118958</v>
      </c>
      <c r="L46" s="4">
        <f t="shared" si="23"/>
        <v>11.807937791893988</v>
      </c>
      <c r="M46" s="4">
        <f t="shared" si="24"/>
        <v>106.10138626437747</v>
      </c>
      <c r="N46" s="4">
        <f t="shared" si="25"/>
        <v>5.11618817892149</v>
      </c>
      <c r="O46" s="4">
        <f t="shared" si="26"/>
        <v>16.924125970815474</v>
      </c>
      <c r="P46" s="4">
        <f t="shared" si="27"/>
        <v>7.715835305615238</v>
      </c>
      <c r="Q46" s="4">
        <f t="shared" si="28"/>
        <v>9.208290665200238</v>
      </c>
    </row>
    <row r="47" spans="1:17" ht="12.75">
      <c r="A47">
        <f t="shared" si="29"/>
        <v>175</v>
      </c>
      <c r="B47" s="1">
        <f t="shared" si="13"/>
        <v>19.47122063449069</v>
      </c>
      <c r="C47" s="1">
        <f t="shared" si="14"/>
        <v>70.71067811865476</v>
      </c>
      <c r="D47" s="1">
        <f t="shared" si="15"/>
        <v>51.02260072873556</v>
      </c>
      <c r="E47" s="1">
        <f t="shared" si="16"/>
        <v>248.61111111111114</v>
      </c>
      <c r="F47" s="1">
        <f t="shared" si="17"/>
        <v>330.6782107702341</v>
      </c>
      <c r="G47" s="4">
        <f t="shared" si="18"/>
        <v>2.2546241643425056</v>
      </c>
      <c r="H47" s="4">
        <f t="shared" si="19"/>
        <v>2.24479746659962</v>
      </c>
      <c r="I47" s="4">
        <f t="shared" si="20"/>
        <v>4.468084351141838</v>
      </c>
      <c r="J47" s="4">
        <f t="shared" si="21"/>
        <v>2.8786427479450354</v>
      </c>
      <c r="K47" s="4">
        <f t="shared" si="22"/>
        <v>7.346727099086873</v>
      </c>
      <c r="L47" s="4">
        <f t="shared" si="23"/>
        <v>11.846148730028998</v>
      </c>
      <c r="M47" s="4">
        <f t="shared" si="24"/>
        <v>105.92843285676932</v>
      </c>
      <c r="N47" s="4">
        <f t="shared" si="25"/>
        <v>5.0330346117364275</v>
      </c>
      <c r="O47" s="4">
        <f t="shared" si="26"/>
        <v>16.879183341765426</v>
      </c>
      <c r="P47" s="4">
        <f t="shared" si="27"/>
        <v>7.9116773596814625</v>
      </c>
      <c r="Q47" s="4">
        <f t="shared" si="28"/>
        <v>8.967505982083964</v>
      </c>
    </row>
    <row r="48" spans="1:17" ht="12.75">
      <c r="A48">
        <f t="shared" si="29"/>
        <v>180</v>
      </c>
      <c r="B48" s="1">
        <f t="shared" si="13"/>
        <v>14.477512185929923</v>
      </c>
      <c r="C48" s="1">
        <f t="shared" si="14"/>
        <v>77.45966692414834</v>
      </c>
      <c r="D48" s="1">
        <f t="shared" si="15"/>
        <v>51.746361711846205</v>
      </c>
      <c r="E48" s="1">
        <f t="shared" si="16"/>
        <v>246.11111111111114</v>
      </c>
      <c r="F48" s="1">
        <f t="shared" si="17"/>
        <v>326.4292219647405</v>
      </c>
      <c r="G48" s="4">
        <f t="shared" si="18"/>
        <v>2.225653786123231</v>
      </c>
      <c r="H48" s="4">
        <f t="shared" si="19"/>
        <v>2.211625088207049</v>
      </c>
      <c r="I48" s="4">
        <f t="shared" si="20"/>
        <v>4.32475444417462</v>
      </c>
      <c r="J48" s="4">
        <f t="shared" si="21"/>
        <v>3.126186755172457</v>
      </c>
      <c r="K48" s="4">
        <f t="shared" si="22"/>
        <v>7.450941199347078</v>
      </c>
      <c r="L48" s="4">
        <f t="shared" si="23"/>
        <v>11.888220073677356</v>
      </c>
      <c r="M48" s="4">
        <f t="shared" si="24"/>
        <v>105.80555218041609</v>
      </c>
      <c r="N48" s="4">
        <f t="shared" si="25"/>
        <v>4.955425792952239</v>
      </c>
      <c r="O48" s="4">
        <f t="shared" si="26"/>
        <v>16.843645866629593</v>
      </c>
      <c r="P48" s="4">
        <f t="shared" si="27"/>
        <v>8.081612548124696</v>
      </c>
      <c r="Q48" s="4">
        <f t="shared" si="28"/>
        <v>8.762033318504901</v>
      </c>
    </row>
    <row r="49" spans="1:17" ht="12.75">
      <c r="A49">
        <f t="shared" si="29"/>
        <v>185</v>
      </c>
      <c r="B49" s="1">
        <f t="shared" si="13"/>
        <v>10.164248621723482</v>
      </c>
      <c r="C49" s="1">
        <f t="shared" si="14"/>
        <v>83.66600265340755</v>
      </c>
      <c r="D49" s="1">
        <f t="shared" si="15"/>
        <v>52.46013835001275</v>
      </c>
      <c r="E49" s="1">
        <f t="shared" si="16"/>
        <v>243.61111111111114</v>
      </c>
      <c r="F49" s="1">
        <f t="shared" si="17"/>
        <v>322.7228862354813</v>
      </c>
      <c r="G49" s="4">
        <f t="shared" si="18"/>
        <v>2.2003833152419183</v>
      </c>
      <c r="H49" s="4">
        <f t="shared" si="19"/>
        <v>2.1789103256244156</v>
      </c>
      <c r="I49" s="4">
        <f t="shared" si="20"/>
        <v>4.203402519045195</v>
      </c>
      <c r="J49" s="4">
        <f t="shared" si="21"/>
        <v>3.3503151380954193</v>
      </c>
      <c r="K49" s="4">
        <f t="shared" si="22"/>
        <v>7.553717657140615</v>
      </c>
      <c r="L49" s="4">
        <f t="shared" si="23"/>
        <v>11.93301129800695</v>
      </c>
      <c r="M49" s="4">
        <f t="shared" si="24"/>
        <v>105.72071406311737</v>
      </c>
      <c r="N49" s="4">
        <f t="shared" si="25"/>
        <v>4.8822194403679235</v>
      </c>
      <c r="O49" s="4">
        <f t="shared" si="26"/>
        <v>16.815230738374872</v>
      </c>
      <c r="P49" s="4">
        <f t="shared" si="27"/>
        <v>8.232534578463342</v>
      </c>
      <c r="Q49" s="4">
        <f t="shared" si="28"/>
        <v>8.582696159911528</v>
      </c>
    </row>
    <row r="50" spans="1:17" ht="12.75">
      <c r="A50">
        <f t="shared" si="29"/>
        <v>190</v>
      </c>
      <c r="B50" s="1">
        <f t="shared" si="13"/>
        <v>6.379370208442803</v>
      </c>
      <c r="C50" s="1">
        <f t="shared" si="14"/>
        <v>89.44271909999158</v>
      </c>
      <c r="D50" s="1">
        <f t="shared" si="15"/>
        <v>53.16433278986707</v>
      </c>
      <c r="E50" s="1">
        <f t="shared" si="16"/>
        <v>241.11111111111114</v>
      </c>
      <c r="F50" s="1">
        <f t="shared" si="17"/>
        <v>319.4461697888973</v>
      </c>
      <c r="G50" s="4">
        <f t="shared" si="18"/>
        <v>2.178042066742482</v>
      </c>
      <c r="H50" s="4">
        <f t="shared" si="19"/>
        <v>2.1466347471310927</v>
      </c>
      <c r="I50" s="4">
        <f t="shared" si="20"/>
        <v>4.098861680943749</v>
      </c>
      <c r="J50" s="4">
        <f t="shared" si="21"/>
        <v>3.556252696481849</v>
      </c>
      <c r="K50" s="4">
        <f t="shared" si="22"/>
        <v>7.655114377425598</v>
      </c>
      <c r="L50" s="4">
        <f t="shared" si="23"/>
        <v>11.97979119129917</v>
      </c>
      <c r="M50" s="4">
        <f t="shared" si="24"/>
        <v>105.66605378492879</v>
      </c>
      <c r="N50" s="4">
        <f t="shared" si="25"/>
        <v>4.8126577578806575</v>
      </c>
      <c r="O50" s="4">
        <f t="shared" si="26"/>
        <v>16.79244894917983</v>
      </c>
      <c r="P50" s="4">
        <f t="shared" si="27"/>
        <v>8.368910454362506</v>
      </c>
      <c r="Q50" s="4">
        <f t="shared" si="28"/>
        <v>8.423538494817324</v>
      </c>
    </row>
    <row r="51" spans="1:17" ht="12.75">
      <c r="A51">
        <f t="shared" si="29"/>
        <v>195</v>
      </c>
      <c r="B51" s="1">
        <f t="shared" si="13"/>
        <v>3.016961309815992</v>
      </c>
      <c r="C51" s="1">
        <f t="shared" si="14"/>
        <v>94.86832980505139</v>
      </c>
      <c r="D51" s="1">
        <f t="shared" si="15"/>
        <v>53.85932088581317</v>
      </c>
      <c r="E51" s="1">
        <f t="shared" si="16"/>
        <v>238.61111111111114</v>
      </c>
      <c r="F51" s="1">
        <f t="shared" si="17"/>
        <v>316.5205590838375</v>
      </c>
      <c r="G51" s="4">
        <f t="shared" si="18"/>
        <v>2.1580947210261647</v>
      </c>
      <c r="H51" s="4">
        <f t="shared" si="19"/>
        <v>2.1147811260668963</v>
      </c>
      <c r="I51" s="4">
        <f t="shared" si="20"/>
        <v>4.007576598240273</v>
      </c>
      <c r="J51" s="4">
        <f t="shared" si="21"/>
        <v>3.7476088811108372</v>
      </c>
      <c r="K51" s="4">
        <f t="shared" si="22"/>
        <v>7.75518547935111</v>
      </c>
      <c r="L51" s="4">
        <f t="shared" si="23"/>
        <v>12.028061326444172</v>
      </c>
      <c r="M51" s="4">
        <f t="shared" si="24"/>
        <v>105.63609006187808</v>
      </c>
      <c r="N51" s="4">
        <f t="shared" si="25"/>
        <v>4.746203841139283</v>
      </c>
      <c r="O51" s="4">
        <f t="shared" si="26"/>
        <v>16.774265167583454</v>
      </c>
      <c r="P51" s="4">
        <f t="shared" si="27"/>
        <v>8.49381272225012</v>
      </c>
      <c r="Q51" s="4">
        <f t="shared" si="28"/>
        <v>8.280452445333333</v>
      </c>
    </row>
    <row r="52" spans="1:17" ht="12.75">
      <c r="A52">
        <f t="shared" si="29"/>
        <v>200</v>
      </c>
      <c r="B52" s="1">
        <f t="shared" si="13"/>
        <v>0</v>
      </c>
      <c r="C52" s="1">
        <f t="shared" si="14"/>
        <v>100</v>
      </c>
      <c r="D52" s="1">
        <f t="shared" si="15"/>
        <v>54.54545454545454</v>
      </c>
      <c r="E52" s="1">
        <f t="shared" si="16"/>
        <v>236.11111111111114</v>
      </c>
      <c r="F52" s="1">
        <f t="shared" si="17"/>
        <v>313.88888888888886</v>
      </c>
      <c r="G52" s="4">
        <f t="shared" si="18"/>
        <v>2.140151515151515</v>
      </c>
      <c r="H52" s="4">
        <f t="shared" si="19"/>
        <v>2.0833333333333335</v>
      </c>
      <c r="I52" s="4">
        <f t="shared" si="20"/>
        <v>3.9269908169872423</v>
      </c>
      <c r="J52" s="4">
        <f t="shared" si="21"/>
        <v>3.9269908169872423</v>
      </c>
      <c r="K52" s="4">
        <f t="shared" si="22"/>
        <v>7.853981633974485</v>
      </c>
      <c r="L52" s="4">
        <f t="shared" si="23"/>
        <v>12.077466482459334</v>
      </c>
      <c r="M52" s="4">
        <f t="shared" si="24"/>
        <v>105.62681853292955</v>
      </c>
      <c r="N52" s="4">
        <f t="shared" si="25"/>
        <v>4.682458365518542</v>
      </c>
      <c r="O52" s="4">
        <f t="shared" si="26"/>
        <v>16.759924847977874</v>
      </c>
      <c r="P52" s="4">
        <f t="shared" si="27"/>
        <v>8.609449182505784</v>
      </c>
      <c r="Q52" s="4">
        <f t="shared" si="28"/>
        <v>8.150475665472092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J8"/>
    </sheetView>
  </sheetViews>
  <sheetFormatPr defaultColWidth="9.140625" defaultRowHeight="12.75"/>
  <cols>
    <col min="1" max="1" width="9.140625" style="14" customWidth="1"/>
    <col min="2" max="7" width="9.140625" style="17" customWidth="1"/>
    <col min="8" max="16384" width="9.140625" style="14" customWidth="1"/>
  </cols>
  <sheetData>
    <row r="1" spans="1:10" s="5" customFormat="1" ht="51">
      <c r="A1" s="5" t="s">
        <v>19</v>
      </c>
      <c r="B1" s="16" t="s">
        <v>23</v>
      </c>
      <c r="C1" s="16" t="s">
        <v>44</v>
      </c>
      <c r="D1" s="16" t="s">
        <v>62</v>
      </c>
      <c r="E1" s="16" t="s">
        <v>63</v>
      </c>
      <c r="F1" s="16" t="s">
        <v>64</v>
      </c>
      <c r="G1" s="16" t="s">
        <v>65</v>
      </c>
      <c r="I1" s="5" t="s">
        <v>66</v>
      </c>
      <c r="J1" s="17">
        <v>16.76</v>
      </c>
    </row>
    <row r="2" spans="1:7" s="5" customFormat="1" ht="12.75">
      <c r="A2" s="5">
        <v>155</v>
      </c>
      <c r="B2" s="16">
        <v>1.5</v>
      </c>
      <c r="C2" s="16">
        <v>2</v>
      </c>
      <c r="D2" s="16">
        <v>6.5</v>
      </c>
      <c r="E2" s="16">
        <v>6.779</v>
      </c>
      <c r="F2" s="17">
        <f aca="true" t="shared" si="0" ref="F2:F8">E2-D2</f>
        <v>0.2789999999999999</v>
      </c>
      <c r="G2" s="16">
        <f>17.18-F2</f>
        <v>16.901</v>
      </c>
    </row>
    <row r="3" spans="1:7" ht="12.75">
      <c r="A3" s="14">
        <v>160</v>
      </c>
      <c r="B3" s="17">
        <v>2.5</v>
      </c>
      <c r="C3" s="17">
        <v>3.7</v>
      </c>
      <c r="D3" s="17">
        <v>6.875</v>
      </c>
      <c r="E3" s="17">
        <v>7.189</v>
      </c>
      <c r="F3" s="17">
        <f t="shared" si="0"/>
        <v>0.31400000000000006</v>
      </c>
      <c r="G3" s="17">
        <f>17.061-F3</f>
        <v>16.747</v>
      </c>
    </row>
    <row r="4" spans="1:7" ht="12.75">
      <c r="A4" s="14">
        <v>165</v>
      </c>
      <c r="B4" s="17">
        <v>3</v>
      </c>
      <c r="C4" s="17">
        <v>5.95</v>
      </c>
      <c r="D4" s="17">
        <v>7.05</v>
      </c>
      <c r="E4" s="17">
        <v>7.482</v>
      </c>
      <c r="F4" s="17">
        <f t="shared" si="0"/>
        <v>0.4320000000000004</v>
      </c>
      <c r="G4" s="17">
        <f>16.982-F4</f>
        <v>16.549999999999997</v>
      </c>
    </row>
    <row r="5" spans="1:7" ht="12.75">
      <c r="A5" s="14">
        <v>170</v>
      </c>
      <c r="B5" s="17">
        <v>3.5</v>
      </c>
      <c r="C5" s="17">
        <v>8.55</v>
      </c>
      <c r="D5" s="17">
        <v>7.225</v>
      </c>
      <c r="E5" s="17">
        <v>7.716</v>
      </c>
      <c r="F5" s="17">
        <f t="shared" si="0"/>
        <v>0.49100000000000055</v>
      </c>
      <c r="G5" s="17">
        <f>16.924-F5</f>
        <v>16.433</v>
      </c>
    </row>
    <row r="6" spans="1:7" ht="12.75">
      <c r="A6" s="14">
        <v>175</v>
      </c>
      <c r="B6" s="17">
        <v>4</v>
      </c>
      <c r="C6" s="17">
        <v>11.17</v>
      </c>
      <c r="D6" s="17">
        <v>7.4</v>
      </c>
      <c r="E6" s="17">
        <v>7.912</v>
      </c>
      <c r="F6" s="17">
        <f t="shared" si="0"/>
        <v>0.5119999999999996</v>
      </c>
      <c r="G6" s="17">
        <f>16.879-F6</f>
        <v>16.367</v>
      </c>
    </row>
    <row r="7" spans="1:7" ht="12.75">
      <c r="A7" s="14">
        <v>180</v>
      </c>
      <c r="B7" s="17">
        <v>4.5</v>
      </c>
      <c r="C7" s="17">
        <v>13.33</v>
      </c>
      <c r="D7" s="17">
        <v>7.575</v>
      </c>
      <c r="E7" s="17">
        <v>8.082</v>
      </c>
      <c r="F7" s="17">
        <f t="shared" si="0"/>
        <v>0.5070000000000006</v>
      </c>
      <c r="G7" s="17">
        <f>16.844-F7</f>
        <v>16.337</v>
      </c>
    </row>
    <row r="8" spans="1:7" ht="12.75">
      <c r="A8" s="14">
        <v>185</v>
      </c>
      <c r="B8" s="17">
        <v>5</v>
      </c>
      <c r="C8" s="17">
        <v>30</v>
      </c>
      <c r="D8" s="17">
        <v>7.7</v>
      </c>
      <c r="E8" s="17">
        <v>8.233</v>
      </c>
      <c r="F8" s="17">
        <f t="shared" si="0"/>
        <v>0.5330000000000004</v>
      </c>
      <c r="G8" s="17">
        <f>16.815-F8</f>
        <v>16.282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76"/>
  <sheetViews>
    <sheetView tabSelected="1" workbookViewId="0" topLeftCell="A1">
      <pane ySplit="5010" topLeftCell="BM135" activePane="topLeft" state="split"/>
      <selection pane="topLeft" activeCell="O13" sqref="O13"/>
      <selection pane="bottomLeft" activeCell="P145" sqref="P145"/>
    </sheetView>
  </sheetViews>
  <sheetFormatPr defaultColWidth="9.140625" defaultRowHeight="12.75"/>
  <cols>
    <col min="1" max="1" width="9.421875" style="1" customWidth="1"/>
    <col min="2" max="2" width="9.8515625" style="1" customWidth="1"/>
    <col min="3" max="5" width="9.00390625" style="0" customWidth="1"/>
    <col min="6" max="7" width="6.7109375" style="1" bestFit="1" customWidth="1"/>
    <col min="8" max="8" width="8.421875" style="1" bestFit="1" customWidth="1"/>
    <col min="9" max="9" width="8.7109375" style="1" bestFit="1" customWidth="1"/>
    <col min="10" max="11" width="7.28125" style="1" customWidth="1"/>
    <col min="12" max="12" width="8.28125" style="1" customWidth="1"/>
    <col min="13" max="13" width="1.8515625" style="0" customWidth="1"/>
    <col min="14" max="14" width="10.140625" style="0" bestFit="1" customWidth="1"/>
    <col min="15" max="15" width="5.57421875" style="0" bestFit="1" customWidth="1"/>
  </cols>
  <sheetData>
    <row r="1" spans="1:14" s="5" customFormat="1" ht="38.25">
      <c r="A1" s="6" t="s">
        <v>16</v>
      </c>
      <c r="B1" s="6" t="s">
        <v>36</v>
      </c>
      <c r="C1" s="5" t="s">
        <v>37</v>
      </c>
      <c r="D1" s="5" t="s">
        <v>45</v>
      </c>
      <c r="E1" s="5" t="s">
        <v>38</v>
      </c>
      <c r="F1" s="6" t="s">
        <v>40</v>
      </c>
      <c r="G1" s="6" t="s">
        <v>41</v>
      </c>
      <c r="H1" s="6" t="s">
        <v>32</v>
      </c>
      <c r="I1" s="6" t="s">
        <v>31</v>
      </c>
      <c r="J1" s="6" t="s">
        <v>30</v>
      </c>
      <c r="K1" s="6" t="s">
        <v>29</v>
      </c>
      <c r="L1" s="6" t="s">
        <v>39</v>
      </c>
      <c r="N1" s="5" t="s">
        <v>35</v>
      </c>
    </row>
    <row r="2" spans="1:16" ht="12.75">
      <c r="A2" s="1">
        <v>0</v>
      </c>
      <c r="B2" s="1">
        <f>amax*MIN(1,(A2/k))</f>
        <v>0</v>
      </c>
      <c r="C2" s="1">
        <f>g*SQRT(1-B2*B2/(amax*amax))</f>
        <v>32</v>
      </c>
      <c r="D2" s="1">
        <f>MAX(0,MIN(C2,g*(1-A2/k_unwind)))</f>
        <v>32</v>
      </c>
      <c r="E2" s="1">
        <f>(L2*L2*22*22/(15*15))/D2</f>
        <v>167.5</v>
      </c>
      <c r="F2" s="1">
        <f>MIN(0,B2*J2/L2-D2*K2/L2)</f>
        <v>-15.407407407407405</v>
      </c>
      <c r="G2" s="1">
        <f>MAX(0,B2*K2/L2+D2*J2/L2)</f>
        <v>28.046600453212992</v>
      </c>
      <c r="H2" s="1">
        <f>r0*SIN(alpha*PI()/180)</f>
        <v>48.14814814814815</v>
      </c>
      <c r="I2" s="1">
        <f>-r0*COS(alpha*PI()/180)</f>
        <v>-87.64562641629061</v>
      </c>
      <c r="J2" s="1">
        <f>v0*COS(alpha*PI()/180)</f>
        <v>43.75031884385397</v>
      </c>
      <c r="K2" s="1">
        <f>v0*SIN(alpha*PI()/180)</f>
        <v>24.034249275798043</v>
      </c>
      <c r="L2" s="1">
        <f aca="true" t="shared" si="0" ref="L2:L7">SQRT(K2*K2+J2*J2)</f>
        <v>49.91728695742671</v>
      </c>
      <c r="N2" t="s">
        <v>18</v>
      </c>
      <c r="O2">
        <v>100</v>
      </c>
      <c r="P2" t="s">
        <v>24</v>
      </c>
    </row>
    <row r="3" spans="1:16" ht="12.75">
      <c r="A3" s="1">
        <f>A2+deltat</f>
        <v>0.05</v>
      </c>
      <c r="B3" s="1">
        <f aca="true" t="shared" si="1" ref="B3:B66">amax*MIN(1,(A3/k))</f>
        <v>0.24615384615384617</v>
      </c>
      <c r="C3" s="1">
        <f aca="true" t="shared" si="2" ref="C3:C66">g*SQRT(1-B3*B3/(amax*amax))</f>
        <v>31.996212793643167</v>
      </c>
      <c r="D3" s="1">
        <f aca="true" t="shared" si="3" ref="D3:D52">MAX(0,MIN(C3,g*(1-A3/k_unwind)))</f>
        <v>31.822222222222223</v>
      </c>
      <c r="E3" s="1">
        <f aca="true" t="shared" si="4" ref="E3:E52">(L3*L3*22*22/(15*15))/D3</f>
        <v>168.5162011173184</v>
      </c>
      <c r="F3" s="1">
        <f aca="true" t="shared" si="5" ref="F3:F52">MIN(0,B3*J3/L3-D3*K3/L3)</f>
        <v>-15.71444007771852</v>
      </c>
      <c r="G3" s="1">
        <f aca="true" t="shared" si="6" ref="G3:G52">MAX(0,B3*K3/L3+D3*J3/L3)</f>
        <v>27.67256388411208</v>
      </c>
      <c r="H3" s="1">
        <f aca="true" t="shared" si="7" ref="H3:I7">H2+J3*deltat*22/15</f>
        <v>51.31798634484559</v>
      </c>
      <c r="I3" s="1">
        <f t="shared" si="7"/>
        <v>-85.81299830159905</v>
      </c>
      <c r="J3" s="1">
        <f>MAX(0,J2+F2*deltat*15/22)</f>
        <v>43.22506631860144</v>
      </c>
      <c r="K3" s="1">
        <f>K2+G2*deltat*15/22</f>
        <v>24.990383382157578</v>
      </c>
      <c r="L3" s="1">
        <f t="shared" si="0"/>
        <v>49.9292060805568</v>
      </c>
      <c r="N3" t="s">
        <v>22</v>
      </c>
      <c r="O3">
        <v>200</v>
      </c>
      <c r="P3" t="s">
        <v>24</v>
      </c>
    </row>
    <row r="4" spans="1:16" ht="12.75">
      <c r="A4" s="1">
        <f aca="true" t="shared" si="8" ref="A4:A52">A3+deltat</f>
        <v>0.1</v>
      </c>
      <c r="B4" s="1">
        <f t="shared" si="1"/>
        <v>0.49230769230769234</v>
      </c>
      <c r="C4" s="1">
        <f t="shared" si="2"/>
        <v>31.984848483999087</v>
      </c>
      <c r="D4" s="1">
        <f t="shared" si="3"/>
        <v>31.644444444444446</v>
      </c>
      <c r="E4" s="1">
        <f t="shared" si="4"/>
        <v>169.5998919441458</v>
      </c>
      <c r="F4" s="1">
        <f t="shared" si="5"/>
        <v>-16.00907422262879</v>
      </c>
      <c r="G4" s="1">
        <f t="shared" si="6"/>
        <v>27.30060024240856</v>
      </c>
      <c r="H4" s="1">
        <f t="shared" si="7"/>
        <v>54.44853844134874</v>
      </c>
      <c r="I4" s="1">
        <f t="shared" si="7"/>
        <v>-83.91118877719721</v>
      </c>
      <c r="J4" s="1">
        <f aca="true" t="shared" si="9" ref="J4:J67">MAX(0,J3+F3*deltat*15/22)</f>
        <v>42.6893467704974</v>
      </c>
      <c r="K4" s="1">
        <f>K3+G3*deltat*15/22</f>
        <v>25.933766241843216</v>
      </c>
      <c r="L4" s="1">
        <f t="shared" si="0"/>
        <v>49.94937996790695</v>
      </c>
      <c r="N4" t="s">
        <v>19</v>
      </c>
      <c r="O4">
        <v>167.5</v>
      </c>
      <c r="P4" t="s">
        <v>24</v>
      </c>
    </row>
    <row r="5" spans="1:16" ht="12.75">
      <c r="A5" s="1">
        <f t="shared" si="8"/>
        <v>0.15000000000000002</v>
      </c>
      <c r="B5" s="1">
        <f t="shared" si="1"/>
        <v>0.7384615384615386</v>
      </c>
      <c r="C5" s="1">
        <f t="shared" si="2"/>
        <v>31.96589898978053</v>
      </c>
      <c r="D5" s="1">
        <f t="shared" si="3"/>
        <v>31.466666666666665</v>
      </c>
      <c r="E5" s="1">
        <f t="shared" si="4"/>
        <v>170.7522773158572</v>
      </c>
      <c r="F5" s="1">
        <f t="shared" si="5"/>
        <v>-16.291508195046326</v>
      </c>
      <c r="G5" s="1">
        <f t="shared" si="6"/>
        <v>26.931082363797344</v>
      </c>
      <c r="H5" s="1">
        <f t="shared" si="7"/>
        <v>57.53906785229531</v>
      </c>
      <c r="I5" s="1">
        <f t="shared" si="7"/>
        <v>-81.94112775218936</v>
      </c>
      <c r="J5" s="1">
        <f t="shared" si="9"/>
        <v>42.143582876544144</v>
      </c>
      <c r="K5" s="1">
        <f>K4+G4*deltat*15/22</f>
        <v>26.864468522834418</v>
      </c>
      <c r="L5" s="1">
        <f t="shared" si="0"/>
        <v>49.97780754181306</v>
      </c>
      <c r="N5" t="s">
        <v>17</v>
      </c>
      <c r="O5" s="1">
        <f>ASIN((r_1-r_)/(r_-r0))*180/PI()</f>
        <v>28.782204680581383</v>
      </c>
      <c r="P5" t="s">
        <v>25</v>
      </c>
    </row>
    <row r="6" spans="1:16" ht="12.75">
      <c r="A6" s="1">
        <f t="shared" si="8"/>
        <v>0.2</v>
      </c>
      <c r="B6" s="1">
        <f t="shared" si="1"/>
        <v>0.9846153846153847</v>
      </c>
      <c r="C6" s="1">
        <f t="shared" si="2"/>
        <v>31.939350810207692</v>
      </c>
      <c r="D6" s="1">
        <f t="shared" si="3"/>
        <v>31.288888888888888</v>
      </c>
      <c r="E6" s="1">
        <f t="shared" si="4"/>
        <v>171.9746180209031</v>
      </c>
      <c r="F6" s="1">
        <f t="shared" si="5"/>
        <v>-16.56195080282758</v>
      </c>
      <c r="G6" s="1">
        <f t="shared" si="6"/>
        <v>26.564371269833863</v>
      </c>
      <c r="H6" s="1">
        <f t="shared" si="7"/>
        <v>60.588868492754266</v>
      </c>
      <c r="I6" s="1">
        <f t="shared" si="7"/>
        <v>-79.903739021272</v>
      </c>
      <c r="J6" s="1">
        <f t="shared" si="9"/>
        <v>41.58819055171302</v>
      </c>
      <c r="K6" s="1">
        <f>K5+G5*deltat*15/22</f>
        <v>27.782573603418417</v>
      </c>
      <c r="L6" s="1">
        <f t="shared" si="0"/>
        <v>50.0144877949875</v>
      </c>
      <c r="N6" t="s">
        <v>20</v>
      </c>
      <c r="O6" s="1">
        <f>(r_-r0)*COS(alpha*PI()/180)</f>
        <v>59.16079783099616</v>
      </c>
      <c r="P6" t="s">
        <v>24</v>
      </c>
    </row>
    <row r="7" spans="1:16" ht="12.75">
      <c r="A7" s="1">
        <f t="shared" si="8"/>
        <v>0.25</v>
      </c>
      <c r="B7" s="1">
        <f t="shared" si="1"/>
        <v>1.2307692307692308</v>
      </c>
      <c r="C7" s="1">
        <f t="shared" si="2"/>
        <v>31.905184976777157</v>
      </c>
      <c r="D7" s="1">
        <f t="shared" si="3"/>
        <v>31.11111111111111</v>
      </c>
      <c r="E7" s="1">
        <f t="shared" si="4"/>
        <v>173.26823239479342</v>
      </c>
      <c r="F7" s="1">
        <f t="shared" si="5"/>
        <v>-16.820620629168523</v>
      </c>
      <c r="G7" s="1">
        <f t="shared" si="6"/>
        <v>26.200815810140337</v>
      </c>
      <c r="H7" s="1">
        <f t="shared" si="7"/>
        <v>63.59726425620615</v>
      </c>
      <c r="I7" s="1">
        <f t="shared" si="7"/>
        <v>-77.79993936218007</v>
      </c>
      <c r="J7" s="1">
        <f t="shared" si="9"/>
        <v>41.023578592525716</v>
      </c>
      <c r="K7" s="1">
        <f>K6+G6*deltat*15/22</f>
        <v>28.68817716943548</v>
      </c>
      <c r="L7" s="1">
        <f t="shared" si="0"/>
        <v>50.05941979130454</v>
      </c>
      <c r="N7" t="s">
        <v>21</v>
      </c>
      <c r="O7">
        <v>100</v>
      </c>
      <c r="P7" t="s">
        <v>24</v>
      </c>
    </row>
    <row r="8" spans="1:16" ht="12.75">
      <c r="A8" s="1">
        <f t="shared" si="8"/>
        <v>0.3</v>
      </c>
      <c r="B8" s="1">
        <f t="shared" si="1"/>
        <v>1.4769230769230768</v>
      </c>
      <c r="C8" s="1">
        <f t="shared" si="2"/>
        <v>31.863376985175446</v>
      </c>
      <c r="D8" s="1">
        <f t="shared" si="3"/>
        <v>30.933333333333334</v>
      </c>
      <c r="E8" s="1">
        <f t="shared" si="4"/>
        <v>174.6344979694613</v>
      </c>
      <c r="F8" s="1">
        <f t="shared" si="5"/>
        <v>-17.067745342715057</v>
      </c>
      <c r="G8" s="1">
        <f t="shared" si="6"/>
        <v>25.840752345906797</v>
      </c>
      <c r="H8" s="1">
        <f aca="true" t="shared" si="10" ref="H8:H17">H7+J8*deltat*22/15</f>
        <v>66.56360846808512</v>
      </c>
      <c r="I8" s="1">
        <f aca="true" t="shared" si="11" ref="I8:I17">I7+K8*deltat*22/15</f>
        <v>-75.63063766356278</v>
      </c>
      <c r="J8" s="1">
        <f t="shared" si="9"/>
        <v>40.45014834380406</v>
      </c>
      <c r="K8" s="1">
        <f aca="true" t="shared" si="12" ref="K8:K17">K7+G7*deltat*15/22</f>
        <v>29.58138679932663</v>
      </c>
      <c r="L8" s="1">
        <f aca="true" t="shared" si="13" ref="L8:L17">SQRT(K8*K8+J8*J8)</f>
        <v>50.112602666466344</v>
      </c>
      <c r="N8" t="s">
        <v>23</v>
      </c>
      <c r="O8">
        <v>3.25</v>
      </c>
      <c r="P8" t="s">
        <v>26</v>
      </c>
    </row>
    <row r="9" spans="1:16" ht="12.75">
      <c r="A9" s="1">
        <f t="shared" si="8"/>
        <v>0.35</v>
      </c>
      <c r="B9" s="1">
        <f t="shared" si="1"/>
        <v>1.723076923076923</v>
      </c>
      <c r="C9" s="1">
        <f t="shared" si="2"/>
        <v>31.81389670676384</v>
      </c>
      <c r="D9" s="1">
        <f t="shared" si="3"/>
        <v>30.755555555555556</v>
      </c>
      <c r="E9" s="1">
        <f t="shared" si="4"/>
        <v>176.07485318025306</v>
      </c>
      <c r="F9" s="1">
        <f t="shared" si="5"/>
        <v>-17.303561000189276</v>
      </c>
      <c r="G9" s="1">
        <f t="shared" si="6"/>
        <v>25.484504474806513</v>
      </c>
      <c r="H9" s="1">
        <f t="shared" si="10"/>
        <v>69.4872833166073</v>
      </c>
      <c r="I9" s="1">
        <f t="shared" si="11"/>
        <v>-73.39673408408072</v>
      </c>
      <c r="J9" s="1">
        <f t="shared" si="9"/>
        <v>39.868293388938774</v>
      </c>
      <c r="K9" s="1">
        <f t="shared" si="12"/>
        <v>30.462321538391635</v>
      </c>
      <c r="L9" s="1">
        <f t="shared" si="13"/>
        <v>50.17403562854854</v>
      </c>
      <c r="N9" t="s">
        <v>27</v>
      </c>
      <c r="O9" s="1">
        <f>SQRT(r_*32)*15/22</f>
        <v>49.917286957426704</v>
      </c>
      <c r="P9" t="s">
        <v>28</v>
      </c>
    </row>
    <row r="10" spans="1:16" ht="12.75">
      <c r="A10" s="1">
        <f t="shared" si="8"/>
        <v>0.39999999999999997</v>
      </c>
      <c r="B10" s="1">
        <f t="shared" si="1"/>
        <v>1.9692307692307691</v>
      </c>
      <c r="C10" s="1">
        <f t="shared" si="2"/>
        <v>31.756708278882734</v>
      </c>
      <c r="D10" s="1">
        <f t="shared" si="3"/>
        <v>30.57777777777778</v>
      </c>
      <c r="E10" s="1">
        <f t="shared" si="4"/>
        <v>177.59079913289207</v>
      </c>
      <c r="F10" s="1">
        <f t="shared" si="5"/>
        <v>-17.528311344294565</v>
      </c>
      <c r="G10" s="1">
        <f t="shared" si="6"/>
        <v>25.132382797242293</v>
      </c>
      <c r="H10" s="1">
        <f t="shared" si="10"/>
        <v>72.367699262629</v>
      </c>
      <c r="I10" s="1">
        <f t="shared" si="11"/>
        <v>-71.09911924341165</v>
      </c>
      <c r="J10" s="1">
        <f t="shared" si="9"/>
        <v>39.27839926393232</v>
      </c>
      <c r="K10" s="1">
        <f t="shared" si="12"/>
        <v>31.331111463669128</v>
      </c>
      <c r="L10" s="1">
        <f t="shared" si="13"/>
        <v>50.243717958424796</v>
      </c>
      <c r="N10" t="s">
        <v>33</v>
      </c>
      <c r="O10">
        <v>16</v>
      </c>
      <c r="P10" t="s">
        <v>34</v>
      </c>
    </row>
    <row r="11" spans="1:16" ht="12.75">
      <c r="A11" s="1">
        <f t="shared" si="8"/>
        <v>0.44999999999999996</v>
      </c>
      <c r="B11" s="1">
        <f t="shared" si="1"/>
        <v>2.215384615384615</v>
      </c>
      <c r="C11" s="1">
        <f t="shared" si="2"/>
        <v>31.691769973033512</v>
      </c>
      <c r="D11" s="1">
        <f t="shared" si="3"/>
        <v>30.4</v>
      </c>
      <c r="E11" s="1">
        <f t="shared" si="4"/>
        <v>179.183901432876</v>
      </c>
      <c r="F11" s="1">
        <f t="shared" si="5"/>
        <v>-17.742247099612378</v>
      </c>
      <c r="G11" s="1">
        <f t="shared" si="6"/>
        <v>24.784684723642922</v>
      </c>
      <c r="H11" s="1">
        <f t="shared" si="10"/>
        <v>75.20429443028998</v>
      </c>
      <c r="I11" s="1">
        <f t="shared" si="11"/>
        <v>-68.73867344574947</v>
      </c>
      <c r="J11" s="1">
        <f t="shared" si="9"/>
        <v>38.68084319537682</v>
      </c>
      <c r="K11" s="1">
        <f t="shared" si="12"/>
        <v>32.187897240847846</v>
      </c>
      <c r="L11" s="1">
        <f t="shared" si="13"/>
        <v>50.32164901007031</v>
      </c>
      <c r="N11" s="1" t="s">
        <v>42</v>
      </c>
      <c r="O11" s="1">
        <v>0.05</v>
      </c>
      <c r="P11" t="s">
        <v>26</v>
      </c>
    </row>
    <row r="12" spans="1:16" ht="12.75">
      <c r="A12" s="1">
        <f t="shared" si="8"/>
        <v>0.49999999999999994</v>
      </c>
      <c r="B12" s="1">
        <f t="shared" si="1"/>
        <v>2.4615384615384612</v>
      </c>
      <c r="C12" s="1">
        <f t="shared" si="2"/>
        <v>31.619034039791085</v>
      </c>
      <c r="D12" s="1">
        <f t="shared" si="3"/>
        <v>30.22222222222222</v>
      </c>
      <c r="E12" s="1">
        <f t="shared" si="4"/>
        <v>180.85579207987865</v>
      </c>
      <c r="F12" s="1">
        <f t="shared" si="5"/>
        <v>-17.94562526913885</v>
      </c>
      <c r="G12" s="1">
        <f t="shared" si="6"/>
        <v>24.441694322339046</v>
      </c>
      <c r="H12" s="1">
        <f t="shared" si="10"/>
        <v>77.99653398020192</v>
      </c>
      <c r="I12" s="1">
        <f t="shared" si="11"/>
        <v>-66.31626593627819</v>
      </c>
      <c r="J12" s="1">
        <f t="shared" si="9"/>
        <v>38.075993862435496</v>
      </c>
      <c r="K12" s="1">
        <f t="shared" si="12"/>
        <v>33.0328296746084</v>
      </c>
      <c r="L12" s="1">
        <f t="shared" si="13"/>
        <v>50.40782821074436</v>
      </c>
      <c r="N12" t="s">
        <v>43</v>
      </c>
      <c r="O12">
        <v>32</v>
      </c>
      <c r="P12" t="s">
        <v>34</v>
      </c>
    </row>
    <row r="13" spans="1:16" ht="12.75">
      <c r="A13" s="1">
        <f t="shared" si="8"/>
        <v>0.5499999999999999</v>
      </c>
      <c r="B13" s="1">
        <f t="shared" si="1"/>
        <v>2.7076923076923074</v>
      </c>
      <c r="C13" s="1">
        <f t="shared" si="2"/>
        <v>31.538446529077106</v>
      </c>
      <c r="D13" s="1">
        <f t="shared" si="3"/>
        <v>30.044444444444444</v>
      </c>
      <c r="E13" s="1">
        <f t="shared" si="4"/>
        <v>182.60817142985027</v>
      </c>
      <c r="F13" s="1">
        <f t="shared" si="5"/>
        <v>-18.138708434029564</v>
      </c>
      <c r="G13" s="1">
        <f t="shared" si="6"/>
        <v>24.103682207366358</v>
      </c>
      <c r="H13" s="1">
        <f t="shared" si="10"/>
        <v>80.743909466941</v>
      </c>
      <c r="I13" s="1">
        <f t="shared" si="11"/>
        <v>-63.83275419100106</v>
      </c>
      <c r="J13" s="1">
        <f t="shared" si="9"/>
        <v>37.46421118280576</v>
      </c>
      <c r="K13" s="1">
        <f t="shared" si="12"/>
        <v>33.86606925377905</v>
      </c>
      <c r="L13" s="1">
        <f t="shared" si="13"/>
        <v>50.50225506105274</v>
      </c>
      <c r="N13" t="s">
        <v>44</v>
      </c>
      <c r="O13" s="1">
        <v>9</v>
      </c>
      <c r="P13" t="s">
        <v>26</v>
      </c>
    </row>
    <row r="14" spans="1:12" ht="12.75">
      <c r="A14" s="1">
        <f t="shared" si="8"/>
        <v>0.6</v>
      </c>
      <c r="B14" s="1">
        <f t="shared" si="1"/>
        <v>2.9538461538461536</v>
      </c>
      <c r="C14" s="1">
        <f t="shared" si="2"/>
        <v>31.449947084178586</v>
      </c>
      <c r="D14" s="1">
        <f t="shared" si="3"/>
        <v>29.866666666666667</v>
      </c>
      <c r="E14" s="1">
        <f t="shared" si="4"/>
        <v>184.4428102276362</v>
      </c>
      <c r="F14" s="1">
        <f t="shared" si="5"/>
        <v>-18.321764059028386</v>
      </c>
      <c r="G14" s="1">
        <f t="shared" si="6"/>
        <v>23.770905465372266</v>
      </c>
      <c r="H14" s="1">
        <f t="shared" si="10"/>
        <v>83.44593818259501</v>
      </c>
      <c r="I14" s="1">
        <f t="shared" si="11"/>
        <v>-61.28898324020551</v>
      </c>
      <c r="J14" s="1">
        <f t="shared" si="9"/>
        <v>36.845846122554754</v>
      </c>
      <c r="K14" s="1">
        <f t="shared" si="12"/>
        <v>34.687785692666544</v>
      </c>
      <c r="L14" s="1">
        <f t="shared" si="13"/>
        <v>50.60492913489105</v>
      </c>
    </row>
    <row r="15" spans="1:12" ht="12.75">
      <c r="A15" s="1">
        <f t="shared" si="8"/>
        <v>0.65</v>
      </c>
      <c r="B15" s="1">
        <f t="shared" si="1"/>
        <v>3.2</v>
      </c>
      <c r="C15" s="1">
        <f t="shared" si="2"/>
        <v>31.35346870762468</v>
      </c>
      <c r="D15" s="1">
        <f t="shared" si="3"/>
        <v>29.68888888888889</v>
      </c>
      <c r="E15" s="1">
        <f t="shared" si="4"/>
        <v>186.3615517130695</v>
      </c>
      <c r="F15" s="1">
        <f t="shared" si="5"/>
        <v>-18.49506380595142</v>
      </c>
      <c r="G15" s="1">
        <f t="shared" si="6"/>
        <v>23.44360762064098</v>
      </c>
      <c r="H15" s="1">
        <f t="shared" si="10"/>
        <v>86.10216248810146</v>
      </c>
      <c r="I15" s="1">
        <f t="shared" si="11"/>
        <v>-58.68578502574653</v>
      </c>
      <c r="J15" s="1">
        <f t="shared" si="9"/>
        <v>36.221240529633334</v>
      </c>
      <c r="K15" s="1">
        <f t="shared" si="12"/>
        <v>35.49815746989515</v>
      </c>
      <c r="L15" s="1">
        <f t="shared" si="13"/>
        <v>50.71585007927034</v>
      </c>
    </row>
    <row r="16" spans="1:12" ht="12.75">
      <c r="A16" s="1">
        <f t="shared" si="8"/>
        <v>0.7000000000000001</v>
      </c>
      <c r="B16" s="1">
        <f t="shared" si="1"/>
        <v>3.4461538461538463</v>
      </c>
      <c r="C16" s="1">
        <f t="shared" si="2"/>
        <v>31.24893749673029</v>
      </c>
      <c r="D16" s="1">
        <f t="shared" si="3"/>
        <v>29.511111111111113</v>
      </c>
      <c r="E16" s="1">
        <f t="shared" si="4"/>
        <v>188.36631380363247</v>
      </c>
      <c r="F16" s="1">
        <f t="shared" si="5"/>
        <v>-18.658882857481302</v>
      </c>
      <c r="G16" s="1">
        <f t="shared" si="6"/>
        <v>23.12201863710211</v>
      </c>
      <c r="H16" s="1">
        <f t="shared" si="10"/>
        <v>88.71214913409302</v>
      </c>
      <c r="I16" s="1">
        <f t="shared" si="11"/>
        <v>-56.023977792235954</v>
      </c>
      <c r="J16" s="1">
        <f t="shared" si="9"/>
        <v>35.59072699079408</v>
      </c>
      <c r="K16" s="1">
        <f t="shared" si="12"/>
        <v>36.29737136605336</v>
      </c>
      <c r="L16" s="1">
        <f t="shared" si="13"/>
        <v>50.83501761402694</v>
      </c>
    </row>
    <row r="17" spans="1:12" ht="12.75">
      <c r="A17" s="1">
        <f t="shared" si="8"/>
        <v>0.7500000000000001</v>
      </c>
      <c r="B17" s="1">
        <f t="shared" si="1"/>
        <v>3.692307692307693</v>
      </c>
      <c r="C17" s="1">
        <f t="shared" si="2"/>
        <v>31.136272346273273</v>
      </c>
      <c r="D17" s="1">
        <f t="shared" si="3"/>
        <v>29.333333333333332</v>
      </c>
      <c r="E17" s="1">
        <f t="shared" si="4"/>
        <v>190.45909135693284</v>
      </c>
      <c r="F17" s="1">
        <f t="shared" si="5"/>
        <v>-18.813499253401588</v>
      </c>
      <c r="G17" s="1">
        <f t="shared" si="6"/>
        <v>22.80635495605066</v>
      </c>
      <c r="H17" s="1">
        <f t="shared" si="10"/>
        <v>91.27548857294089</v>
      </c>
      <c r="I17" s="1">
        <f t="shared" si="11"/>
        <v>-53.30436551213262</v>
      </c>
      <c r="J17" s="1">
        <f t="shared" si="9"/>
        <v>34.95462871156177</v>
      </c>
      <c r="K17" s="1">
        <f t="shared" si="12"/>
        <v>37.085622001409114</v>
      </c>
      <c r="L17" s="1">
        <f t="shared" si="13"/>
        <v>50.962431531418694</v>
      </c>
    </row>
    <row r="18" spans="1:12" ht="12.75">
      <c r="A18" s="1">
        <f t="shared" si="8"/>
        <v>0.8000000000000002</v>
      </c>
      <c r="B18" s="1">
        <f t="shared" si="1"/>
        <v>3.938461538461539</v>
      </c>
      <c r="C18" s="1">
        <f t="shared" si="2"/>
        <v>31.015384615384615</v>
      </c>
      <c r="D18" s="1">
        <f t="shared" si="3"/>
        <v>29.155555555555555</v>
      </c>
      <c r="E18" s="1">
        <f t="shared" si="4"/>
        <v>192.64195851639647</v>
      </c>
      <c r="F18" s="1">
        <f t="shared" si="5"/>
        <v>-18.95919324126748</v>
      </c>
      <c r="G18" s="1">
        <f t="shared" si="6"/>
        <v>22.49681956818129</v>
      </c>
      <c r="H18" s="1">
        <f aca="true" t="shared" si="14" ref="H18:H52">H17+J18*deltat*22/15</f>
        <v>93.79179426365525</v>
      </c>
      <c r="I18" s="1">
        <f aca="true" t="shared" si="15" ref="I18:I52">I17+K18*deltat*22/15</f>
        <v>-50.527737344639156</v>
      </c>
      <c r="J18" s="1">
        <f t="shared" si="9"/>
        <v>34.31325941883217</v>
      </c>
      <c r="K18" s="1">
        <f aca="true" t="shared" si="16" ref="K18:K52">K17+G17*deltat*15/22</f>
        <v>37.863111374910844</v>
      </c>
      <c r="L18" s="1">
        <f aca="true" t="shared" si="17" ref="L18:L52">SQRT(K18*K18+J18*J18)</f>
        <v>51.098091695610094</v>
      </c>
    </row>
    <row r="19" spans="1:12" ht="12.75">
      <c r="A19" s="1">
        <f t="shared" si="8"/>
        <v>0.8500000000000002</v>
      </c>
      <c r="B19" s="1">
        <f t="shared" si="1"/>
        <v>4.184615384615386</v>
      </c>
      <c r="C19" s="1">
        <f t="shared" si="2"/>
        <v>30.88617775528984</v>
      </c>
      <c r="D19" s="1">
        <f t="shared" si="3"/>
        <v>28.977777777777778</v>
      </c>
      <c r="E19" s="1">
        <f t="shared" si="4"/>
        <v>194.9170711437464</v>
      </c>
      <c r="F19" s="1">
        <f t="shared" si="5"/>
        <v>-19.09624664336779</v>
      </c>
      <c r="G19" s="1">
        <f t="shared" si="6"/>
        <v>22.193602118428092</v>
      </c>
      <c r="H19" s="1">
        <f t="shared" si="14"/>
        <v>96.26070197126644</v>
      </c>
      <c r="I19" s="1">
        <f t="shared" si="15"/>
        <v>-47.69486712822524</v>
      </c>
      <c r="J19" s="1">
        <f t="shared" si="9"/>
        <v>33.66692328560714</v>
      </c>
      <c r="K19" s="1">
        <f t="shared" si="16"/>
        <v>38.630048405644295</v>
      </c>
      <c r="L19" s="1">
        <f t="shared" si="17"/>
        <v>51.24199804204923</v>
      </c>
    </row>
    <row r="20" spans="1:12" ht="12.75">
      <c r="A20" s="1">
        <f t="shared" si="8"/>
        <v>0.9000000000000002</v>
      </c>
      <c r="B20" s="1">
        <f t="shared" si="1"/>
        <v>4.430769230769232</v>
      </c>
      <c r="C20" s="1">
        <f t="shared" si="2"/>
        <v>30.748546894035083</v>
      </c>
      <c r="D20" s="1">
        <f t="shared" si="3"/>
        <v>28.799999999999997</v>
      </c>
      <c r="E20" s="1">
        <f t="shared" si="4"/>
        <v>197.2866693420099</v>
      </c>
      <c r="F20" s="1">
        <f t="shared" si="5"/>
        <v>-19.22494224168695</v>
      </c>
      <c r="G20" s="1">
        <f t="shared" si="6"/>
        <v>21.896879042003494</v>
      </c>
      <c r="H20" s="1">
        <f t="shared" si="14"/>
        <v>98.68186906226921</v>
      </c>
      <c r="I20" s="1">
        <f t="shared" si="15"/>
        <v>-44.80651290651525</v>
      </c>
      <c r="J20" s="1">
        <f t="shared" si="9"/>
        <v>33.015914877310514</v>
      </c>
      <c r="K20" s="1">
        <f t="shared" si="16"/>
        <v>39.38664847786343</v>
      </c>
      <c r="L20" s="1">
        <f t="shared" si="17"/>
        <v>51.39415057673972</v>
      </c>
    </row>
    <row r="21" spans="1:12" ht="12.75">
      <c r="A21" s="1">
        <f t="shared" si="8"/>
        <v>0.9500000000000003</v>
      </c>
      <c r="B21" s="1">
        <f t="shared" si="1"/>
        <v>4.676923076923078</v>
      </c>
      <c r="C21" s="1">
        <f t="shared" si="2"/>
        <v>30.60237837375026</v>
      </c>
      <c r="D21" s="1">
        <f t="shared" si="3"/>
        <v>28.62222222222222</v>
      </c>
      <c r="E21" s="1">
        <f t="shared" si="4"/>
        <v>199.75308007298446</v>
      </c>
      <c r="F21" s="1">
        <f t="shared" si="5"/>
        <v>-19.345563182424655</v>
      </c>
      <c r="G21" s="1">
        <f t="shared" si="6"/>
        <v>21.606813729945074</v>
      </c>
      <c r="H21" s="1">
        <f t="shared" si="14"/>
        <v>101.05497379766777</v>
      </c>
      <c r="I21" s="1">
        <f t="shared" si="15"/>
        <v>-41.863416487200254</v>
      </c>
      <c r="J21" s="1">
        <f t="shared" si="9"/>
        <v>32.360519119071185</v>
      </c>
      <c r="K21" s="1">
        <f t="shared" si="16"/>
        <v>40.13313299065901</v>
      </c>
      <c r="L21" s="1">
        <f t="shared" si="17"/>
        <v>51.55454937541103</v>
      </c>
    </row>
    <row r="22" spans="1:12" ht="12.75">
      <c r="A22" s="1">
        <f t="shared" si="8"/>
        <v>1.0000000000000002</v>
      </c>
      <c r="B22" s="1">
        <f t="shared" si="1"/>
        <v>4.923076923076924</v>
      </c>
      <c r="C22" s="1">
        <f t="shared" si="2"/>
        <v>30.447549235330417</v>
      </c>
      <c r="D22" s="1">
        <f t="shared" si="3"/>
        <v>28.444444444444443</v>
      </c>
      <c r="E22" s="1">
        <f t="shared" si="4"/>
        <v>202.31871987328643</v>
      </c>
      <c r="F22" s="1">
        <f t="shared" si="5"/>
        <v>-19.458392401476612</v>
      </c>
      <c r="G22" s="1">
        <f t="shared" si="6"/>
        <v>21.323556722408576</v>
      </c>
      <c r="H22" s="1">
        <f t="shared" si="14"/>
        <v>103.37971462511027</v>
      </c>
      <c r="I22" s="1">
        <f t="shared" si="15"/>
        <v>-38.8663030335604</v>
      </c>
      <c r="J22" s="1">
        <f t="shared" si="9"/>
        <v>31.70101128330671</v>
      </c>
      <c r="K22" s="1">
        <f t="shared" si="16"/>
        <v>40.86972891327077</v>
      </c>
      <c r="L22" s="1">
        <f t="shared" si="17"/>
        <v>51.72319458259109</v>
      </c>
    </row>
    <row r="23" spans="1:12" ht="12.75">
      <c r="A23" s="1">
        <f t="shared" si="8"/>
        <v>1.0500000000000003</v>
      </c>
      <c r="B23" s="1">
        <f t="shared" si="1"/>
        <v>5.16923076923077</v>
      </c>
      <c r="C23" s="1">
        <f t="shared" si="2"/>
        <v>30.283926644636942</v>
      </c>
      <c r="D23" s="1">
        <f t="shared" si="3"/>
        <v>28.266666666666666</v>
      </c>
      <c r="E23" s="1">
        <f t="shared" si="4"/>
        <v>204.9860976733131</v>
      </c>
      <c r="F23" s="1">
        <f t="shared" si="5"/>
        <v>-19.563712072124417</v>
      </c>
      <c r="G23" s="1">
        <f t="shared" si="6"/>
        <v>21.047245927888522</v>
      </c>
      <c r="H23" s="1">
        <f t="shared" si="14"/>
        <v>105.65580947154906</v>
      </c>
      <c r="I23" s="1">
        <f t="shared" si="15"/>
        <v>-35.81588068811452</v>
      </c>
      <c r="J23" s="1">
        <f t="shared" si="9"/>
        <v>31.037656996892732</v>
      </c>
      <c r="K23" s="1">
        <f t="shared" si="16"/>
        <v>41.59666834698924</v>
      </c>
      <c r="L23" s="1">
        <f t="shared" si="17"/>
        <v>51.90008641058491</v>
      </c>
    </row>
    <row r="24" spans="1:12" ht="12.75">
      <c r="A24" s="1">
        <f t="shared" si="8"/>
        <v>1.1000000000000003</v>
      </c>
      <c r="B24" s="1">
        <f t="shared" si="1"/>
        <v>5.415384615384617</v>
      </c>
      <c r="C24" s="1">
        <f t="shared" si="2"/>
        <v>30.1113672534115</v>
      </c>
      <c r="D24" s="1">
        <f t="shared" si="3"/>
        <v>28.08888888888889</v>
      </c>
      <c r="E24" s="1">
        <f t="shared" si="4"/>
        <v>207.7578177236699</v>
      </c>
      <c r="F24" s="1">
        <f t="shared" si="5"/>
        <v>-19.661803076025596</v>
      </c>
      <c r="G24" s="1">
        <f t="shared" si="6"/>
        <v>20.778006866503837</v>
      </c>
      <c r="H24" s="1">
        <f t="shared" si="14"/>
        <v>107.88299503780755</v>
      </c>
      <c r="I24" s="1">
        <f t="shared" si="15"/>
        <v>-32.71284022784892</v>
      </c>
      <c r="J24" s="1">
        <f t="shared" si="9"/>
        <v>30.370712267161217</v>
      </c>
      <c r="K24" s="1">
        <f t="shared" si="16"/>
        <v>42.31418809453089</v>
      </c>
      <c r="L24" s="1">
        <f t="shared" si="17"/>
        <v>52.085225138363725</v>
      </c>
    </row>
    <row r="25" spans="1:12" ht="12.75">
      <c r="A25" s="1">
        <f t="shared" si="8"/>
        <v>1.1500000000000004</v>
      </c>
      <c r="B25" s="1">
        <f t="shared" si="1"/>
        <v>5.661538461538464</v>
      </c>
      <c r="C25" s="1">
        <f t="shared" si="2"/>
        <v>29.92971648703146</v>
      </c>
      <c r="D25" s="1">
        <f t="shared" si="3"/>
        <v>27.91111111111111</v>
      </c>
      <c r="E25" s="1">
        <f t="shared" si="4"/>
        <v>210.63658263384022</v>
      </c>
      <c r="F25" s="1">
        <f t="shared" si="5"/>
        <v>-19.752944498439565</v>
      </c>
      <c r="G25" s="1">
        <f t="shared" si="6"/>
        <v>20.515952935455754</v>
      </c>
      <c r="H25" s="1">
        <f t="shared" si="14"/>
        <v>110.06102609637597</v>
      </c>
      <c r="I25" s="1">
        <f t="shared" si="15"/>
        <v>-29.557854750417064</v>
      </c>
      <c r="J25" s="1">
        <f t="shared" si="9"/>
        <v>29.700423525933072</v>
      </c>
      <c r="K25" s="1">
        <f t="shared" si="16"/>
        <v>43.02252923770716</v>
      </c>
      <c r="L25" s="1">
        <f t="shared" si="17"/>
        <v>52.27861111036871</v>
      </c>
    </row>
    <row r="26" spans="1:12" ht="12.75">
      <c r="A26" s="1">
        <f t="shared" si="8"/>
        <v>1.2000000000000004</v>
      </c>
      <c r="B26" s="1">
        <f t="shared" si="1"/>
        <v>5.90769230769231</v>
      </c>
      <c r="C26" s="1">
        <f t="shared" si="2"/>
        <v>29.738807749984403</v>
      </c>
      <c r="D26" s="1">
        <f t="shared" si="3"/>
        <v>27.73333333333333</v>
      </c>
      <c r="E26" s="1">
        <f t="shared" si="4"/>
        <v>213.62519652812705</v>
      </c>
      <c r="F26" s="1">
        <f t="shared" si="5"/>
        <v>-19.837413148470855</v>
      </c>
      <c r="G26" s="1">
        <f t="shared" si="6"/>
        <v>20.26118569474699</v>
      </c>
      <c r="H26" s="1">
        <f t="shared" si="14"/>
        <v>112.18967479369829</v>
      </c>
      <c r="I26" s="1">
        <f t="shared" si="15"/>
        <v>-26.351579390646567</v>
      </c>
      <c r="J26" s="1">
        <f t="shared" si="9"/>
        <v>29.027027690758995</v>
      </c>
      <c r="K26" s="1">
        <f t="shared" si="16"/>
        <v>43.721936724143156</v>
      </c>
      <c r="L26" s="1">
        <f t="shared" si="17"/>
        <v>52.48024473523411</v>
      </c>
    </row>
    <row r="27" spans="1:12" ht="12.75">
      <c r="A27" s="1">
        <f t="shared" si="8"/>
        <v>1.2500000000000004</v>
      </c>
      <c r="B27" s="1">
        <f t="shared" si="1"/>
        <v>6.153846153846156</v>
      </c>
      <c r="C27" s="1">
        <f t="shared" si="2"/>
        <v>29.538461538461537</v>
      </c>
      <c r="D27" s="1">
        <f t="shared" si="3"/>
        <v>27.555555555555554</v>
      </c>
      <c r="E27" s="1">
        <f t="shared" si="4"/>
        <v>216.72656832414805</v>
      </c>
      <c r="F27" s="1">
        <f t="shared" si="5"/>
        <v>-19.915483104959666</v>
      </c>
      <c r="G27" s="1">
        <f t="shared" si="6"/>
        <v>20.01379517124581</v>
      </c>
      <c r="H27" s="1">
        <f t="shared" si="14"/>
        <v>114.26872995814944</v>
      </c>
      <c r="I27" s="1">
        <f t="shared" si="15"/>
        <v>-23.0946510666392</v>
      </c>
      <c r="J27" s="1">
        <f t="shared" si="9"/>
        <v>28.35075224251567</v>
      </c>
      <c r="K27" s="1">
        <f t="shared" si="16"/>
        <v>44.4126589637368</v>
      </c>
      <c r="L27" s="1">
        <f t="shared" si="17"/>
        <v>52.69012648443442</v>
      </c>
    </row>
    <row r="28" spans="1:12" ht="12.75">
      <c r="A28" s="1">
        <f t="shared" si="8"/>
        <v>1.3000000000000005</v>
      </c>
      <c r="B28" s="1">
        <f t="shared" si="1"/>
        <v>6.400000000000002</v>
      </c>
      <c r="C28" s="1">
        <f t="shared" si="2"/>
        <v>29.328484447717372</v>
      </c>
      <c r="D28" s="1">
        <f t="shared" si="3"/>
        <v>27.377777777777776</v>
      </c>
      <c r="E28" s="1">
        <f t="shared" si="4"/>
        <v>219.94371513944316</v>
      </c>
      <c r="F28" s="1">
        <f t="shared" si="5"/>
        <v>-19.987425288502216</v>
      </c>
      <c r="G28" s="1">
        <f t="shared" si="6"/>
        <v>19.77386017918415</v>
      </c>
      <c r="H28" s="1">
        <f t="shared" si="14"/>
        <v>116.29799641483818</v>
      </c>
      <c r="I28" s="1">
        <f t="shared" si="15"/>
        <v>-19.78768825470372</v>
      </c>
      <c r="J28" s="1">
        <f t="shared" si="9"/>
        <v>27.671815318482956</v>
      </c>
      <c r="K28" s="1">
        <f t="shared" si="16"/>
        <v>45.09494743548382</v>
      </c>
      <c r="L28" s="1">
        <f t="shared" si="17"/>
        <v>52.90825689086039</v>
      </c>
    </row>
    <row r="29" spans="1:12" ht="12.75">
      <c r="A29" s="1">
        <f t="shared" si="8"/>
        <v>1.3500000000000005</v>
      </c>
      <c r="B29" s="1">
        <f t="shared" si="1"/>
        <v>6.646153846153849</v>
      </c>
      <c r="C29" s="1">
        <f t="shared" si="2"/>
        <v>29.108668059755285</v>
      </c>
      <c r="D29" s="1">
        <f t="shared" si="3"/>
        <v>27.2</v>
      </c>
      <c r="E29" s="1">
        <f t="shared" si="4"/>
        <v>223.27976583204202</v>
      </c>
      <c r="F29" s="1">
        <f t="shared" si="5"/>
        <v>-20.053507059940358</v>
      </c>
      <c r="G29" s="1">
        <f t="shared" si="6"/>
        <v>19.541448655196156</v>
      </c>
      <c r="H29" s="1">
        <f t="shared" si="14"/>
        <v>118.27729430830567</v>
      </c>
      <c r="I29" s="1">
        <f t="shared" si="15"/>
        <v>-16.43129079232028</v>
      </c>
      <c r="J29" s="1">
        <f t="shared" si="9"/>
        <v>26.99042582001129</v>
      </c>
      <c r="K29" s="1">
        <f t="shared" si="16"/>
        <v>45.76905630522873</v>
      </c>
      <c r="L29" s="1">
        <f t="shared" si="17"/>
        <v>53.1346365473288</v>
      </c>
    </row>
    <row r="30" spans="1:12" ht="12.75">
      <c r="A30" s="1">
        <f t="shared" si="8"/>
        <v>1.4000000000000006</v>
      </c>
      <c r="B30" s="1">
        <f t="shared" si="1"/>
        <v>6.892307692307695</v>
      </c>
      <c r="C30" s="1">
        <f t="shared" si="2"/>
        <v>28.87878769439993</v>
      </c>
      <c r="D30" s="1">
        <f t="shared" si="3"/>
        <v>27.02222222222222</v>
      </c>
      <c r="E30" s="1">
        <f t="shared" si="4"/>
        <v>226.73796468114787</v>
      </c>
      <c r="F30" s="1">
        <f t="shared" si="5"/>
        <v>-20.11399184552198</v>
      </c>
      <c r="G30" s="1">
        <f t="shared" si="6"/>
        <v>19.316618006029923</v>
      </c>
      <c r="H30" s="1">
        <f t="shared" si="14"/>
        <v>120.20645843412332</v>
      </c>
      <c r="I30" s="1">
        <f t="shared" si="15"/>
        <v>-13.02603970829885</v>
      </c>
      <c r="J30" s="1">
        <f t="shared" si="9"/>
        <v>26.30678353387696</v>
      </c>
      <c r="K30" s="1">
        <f t="shared" si="16"/>
        <v>46.43524205483769</v>
      </c>
      <c r="L30" s="1">
        <f t="shared" si="17"/>
        <v>53.369266105031144</v>
      </c>
    </row>
    <row r="31" spans="1:12" ht="12.75">
      <c r="A31" s="1">
        <f t="shared" si="8"/>
        <v>1.4500000000000006</v>
      </c>
      <c r="B31" s="1">
        <f t="shared" si="1"/>
        <v>7.1384615384615415</v>
      </c>
      <c r="C31" s="1">
        <f t="shared" si="2"/>
        <v>28.638601003813385</v>
      </c>
      <c r="D31" s="1">
        <f t="shared" si="3"/>
        <v>26.84444444444444</v>
      </c>
      <c r="E31" s="1">
        <f t="shared" si="4"/>
        <v>230.32167521441792</v>
      </c>
      <c r="F31" s="1">
        <f t="shared" si="5"/>
        <v>-20.16913878880246</v>
      </c>
      <c r="G31" s="1">
        <f t="shared" si="6"/>
        <v>19.099415467102197</v>
      </c>
      <c r="H31" s="1">
        <f t="shared" si="14"/>
        <v>122.08533758032716</v>
      </c>
      <c r="I31" s="1">
        <f t="shared" si="15"/>
        <v>-9.572497079262344</v>
      </c>
      <c r="J31" s="1">
        <f t="shared" si="9"/>
        <v>25.621079266415983</v>
      </c>
      <c r="K31" s="1">
        <f t="shared" si="16"/>
        <v>47.093763123225074</v>
      </c>
      <c r="L31" s="1">
        <f t="shared" si="17"/>
        <v>53.61214627192615</v>
      </c>
    </row>
    <row r="32" spans="1:12" ht="12.75">
      <c r="A32" s="1">
        <f t="shared" si="8"/>
        <v>1.5000000000000007</v>
      </c>
      <c r="B32" s="1">
        <f t="shared" si="1"/>
        <v>7.384615384615388</v>
      </c>
      <c r="C32" s="1">
        <f t="shared" si="2"/>
        <v>28.387846386881957</v>
      </c>
      <c r="D32" s="1">
        <f t="shared" si="3"/>
        <v>26.666666666666664</v>
      </c>
      <c r="E32" s="1">
        <f t="shared" si="4"/>
        <v>234.03438418866654</v>
      </c>
      <c r="F32" s="1">
        <f t="shared" si="5"/>
        <v>-20.21920242923211</v>
      </c>
      <c r="G32" s="1">
        <f t="shared" si="6"/>
        <v>18.889878470110485</v>
      </c>
      <c r="H32" s="1">
        <f t="shared" si="14"/>
        <v>123.913793879559</v>
      </c>
      <c r="I32" s="1">
        <f t="shared" si="15"/>
        <v>-6.071205911558083</v>
      </c>
      <c r="J32" s="1">
        <f t="shared" si="9"/>
        <v>24.933494989524988</v>
      </c>
      <c r="K32" s="1">
        <f t="shared" si="16"/>
        <v>47.74487955960356</v>
      </c>
      <c r="L32" s="1">
        <f t="shared" si="17"/>
        <v>53.86327781108125</v>
      </c>
    </row>
    <row r="33" spans="1:12" ht="12.75">
      <c r="A33" s="1">
        <f t="shared" si="8"/>
        <v>1.5500000000000007</v>
      </c>
      <c r="B33" s="1">
        <f t="shared" si="1"/>
        <v>7.630769230769234</v>
      </c>
      <c r="C33" s="1">
        <f t="shared" si="2"/>
        <v>28.126241195491836</v>
      </c>
      <c r="D33" s="1">
        <f t="shared" si="3"/>
        <v>26.488888888888887</v>
      </c>
      <c r="E33" s="1">
        <f t="shared" si="4"/>
        <v>237.87970573118565</v>
      </c>
      <c r="F33" s="1">
        <f t="shared" si="5"/>
        <v>-20.26443240725691</v>
      </c>
      <c r="G33" s="1">
        <f t="shared" si="6"/>
        <v>18.688035017969966</v>
      </c>
      <c r="H33" s="1">
        <f t="shared" si="14"/>
        <v>125.69170217271775</v>
      </c>
      <c r="I33" s="1">
        <f t="shared" si="15"/>
        <v>-2.522690047678546</v>
      </c>
      <c r="J33" s="1">
        <f t="shared" si="9"/>
        <v>24.244203997619348</v>
      </c>
      <c r="K33" s="1">
        <f t="shared" si="16"/>
        <v>48.38885268926642</v>
      </c>
      <c r="L33" s="1">
        <f t="shared" si="17"/>
        <v>54.1226615389682</v>
      </c>
    </row>
    <row r="34" spans="1:12" ht="12.75">
      <c r="A34" s="1">
        <f t="shared" si="8"/>
        <v>1.6000000000000008</v>
      </c>
      <c r="B34" s="1">
        <f t="shared" si="1"/>
        <v>7.876923076923081</v>
      </c>
      <c r="C34" s="1">
        <f t="shared" si="2"/>
        <v>27.85347969932925</v>
      </c>
      <c r="D34" s="1">
        <f t="shared" si="3"/>
        <v>26.31111111111111</v>
      </c>
      <c r="E34" s="1">
        <f t="shared" si="4"/>
        <v>241.86138564926057</v>
      </c>
      <c r="F34" s="1">
        <f t="shared" si="5"/>
        <v>-20.305073195649502</v>
      </c>
      <c r="G34" s="1">
        <f t="shared" si="6"/>
        <v>18.493904065402575</v>
      </c>
      <c r="H34" s="1">
        <f t="shared" si="14"/>
        <v>127.41894938485837</v>
      </c>
      <c r="I34" s="1">
        <f t="shared" si="15"/>
        <v>1.072545903745917</v>
      </c>
      <c r="J34" s="1">
        <f t="shared" si="9"/>
        <v>23.55337107464468</v>
      </c>
      <c r="K34" s="1">
        <f t="shared" si="16"/>
        <v>49.02594479215176</v>
      </c>
      <c r="L34" s="1">
        <f t="shared" si="17"/>
        <v>54.39029832371782</v>
      </c>
    </row>
    <row r="35" spans="1:12" ht="12.75">
      <c r="A35" s="1">
        <f t="shared" si="8"/>
        <v>1.6500000000000008</v>
      </c>
      <c r="B35" s="1">
        <f t="shared" si="1"/>
        <v>8.123076923076926</v>
      </c>
      <c r="C35" s="1">
        <f t="shared" si="2"/>
        <v>27.569230769230767</v>
      </c>
      <c r="D35" s="1">
        <f t="shared" si="3"/>
        <v>26.13333333333333</v>
      </c>
      <c r="E35" s="1">
        <f t="shared" si="4"/>
        <v>245.98330591587666</v>
      </c>
      <c r="F35" s="1">
        <f t="shared" si="5"/>
        <v>-20.341363856685053</v>
      </c>
      <c r="G35" s="1">
        <f t="shared" si="6"/>
        <v>18.30749590357138</v>
      </c>
      <c r="H35" s="1">
        <f t="shared" si="14"/>
        <v>129.09543391400985</v>
      </c>
      <c r="I35" s="1">
        <f t="shared" si="15"/>
        <v>4.714016615333886</v>
      </c>
      <c r="J35" s="1">
        <f t="shared" si="9"/>
        <v>22.861152670247538</v>
      </c>
      <c r="K35" s="1">
        <f t="shared" si="16"/>
        <v>49.656418794381395</v>
      </c>
      <c r="L35" s="1">
        <f t="shared" si="17"/>
        <v>54.66618908333889</v>
      </c>
    </row>
    <row r="36" spans="1:12" ht="12.75">
      <c r="A36" s="1">
        <f t="shared" si="8"/>
        <v>1.7000000000000008</v>
      </c>
      <c r="B36" s="1">
        <f t="shared" si="1"/>
        <v>8.369230769230773</v>
      </c>
      <c r="C36" s="1">
        <f t="shared" si="2"/>
        <v>27.273135230945552</v>
      </c>
      <c r="D36" s="1">
        <f t="shared" si="3"/>
        <v>25.955555555555552</v>
      </c>
      <c r="E36" s="1">
        <f t="shared" si="4"/>
        <v>250.24948934004817</v>
      </c>
      <c r="F36" s="1">
        <f t="shared" si="5"/>
        <v>-20.37353782468222</v>
      </c>
      <c r="G36" s="1">
        <f t="shared" si="6"/>
        <v>18.128812547224722</v>
      </c>
      <c r="H36" s="1">
        <f t="shared" si="14"/>
        <v>130.7210650335196</v>
      </c>
      <c r="I36" s="1">
        <f t="shared" si="15"/>
        <v>8.401256066680784</v>
      </c>
      <c r="J36" s="1">
        <f t="shared" si="9"/>
        <v>22.167697084224184</v>
      </c>
      <c r="K36" s="1">
        <f t="shared" si="16"/>
        <v>50.280537972912235</v>
      </c>
      <c r="L36" s="1">
        <f t="shared" si="17"/>
        <v>54.95033478390638</v>
      </c>
    </row>
    <row r="37" spans="1:12" ht="12.75">
      <c r="A37" s="1">
        <f t="shared" si="8"/>
        <v>1.7500000000000009</v>
      </c>
      <c r="B37" s="1">
        <f t="shared" si="1"/>
        <v>8.61538461538462</v>
      </c>
      <c r="C37" s="1">
        <f t="shared" si="2"/>
        <v>26.964802831023555</v>
      </c>
      <c r="D37" s="1">
        <f t="shared" si="3"/>
        <v>25.777777777777775</v>
      </c>
      <c r="E37" s="1">
        <f t="shared" si="4"/>
        <v>254.66410443066462</v>
      </c>
      <c r="F37" s="1">
        <f t="shared" si="5"/>
        <v>-20.40182271334367</v>
      </c>
      <c r="G37" s="1">
        <f t="shared" si="6"/>
        <v>17.957848122890283</v>
      </c>
      <c r="H37" s="1">
        <f t="shared" si="14"/>
        <v>132.2957623084677</v>
      </c>
      <c r="I37" s="1">
        <f t="shared" si="15"/>
        <v>12.133817549395744</v>
      </c>
      <c r="J37" s="1">
        <f t="shared" si="9"/>
        <v>21.473144658382743</v>
      </c>
      <c r="K37" s="1">
        <f t="shared" si="16"/>
        <v>50.898565673385804</v>
      </c>
      <c r="L37" s="1">
        <f t="shared" si="17"/>
        <v>55.242736437723636</v>
      </c>
    </row>
    <row r="38" spans="1:12" ht="12.75">
      <c r="A38" s="1">
        <f t="shared" si="8"/>
        <v>1.800000000000001</v>
      </c>
      <c r="B38" s="1">
        <f t="shared" si="1"/>
        <v>8.861538461538466</v>
      </c>
      <c r="C38" s="1">
        <f t="shared" si="2"/>
        <v>26.643808743847003</v>
      </c>
      <c r="D38" s="1">
        <f t="shared" si="3"/>
        <v>25.599999999999998</v>
      </c>
      <c r="E38" s="1">
        <f t="shared" si="4"/>
        <v>259.2314704632454</v>
      </c>
      <c r="F38" s="1">
        <f t="shared" si="5"/>
        <v>-20.42644014725264</v>
      </c>
      <c r="G38" s="1">
        <f t="shared" si="6"/>
        <v>17.794589256738437</v>
      </c>
      <c r="H38" s="1">
        <f t="shared" si="14"/>
        <v>133.8194550266324</v>
      </c>
      <c r="I38" s="1">
        <f t="shared" si="15"/>
        <v>15.911273652417927</v>
      </c>
      <c r="J38" s="1">
        <f t="shared" si="9"/>
        <v>20.7776279749733</v>
      </c>
      <c r="K38" s="1">
        <f t="shared" si="16"/>
        <v>51.510765041211606</v>
      </c>
      <c r="L38" s="1">
        <f t="shared" si="17"/>
        <v>55.54339510146369</v>
      </c>
    </row>
    <row r="39" spans="1:12" ht="12.75">
      <c r="A39" s="1">
        <f t="shared" si="8"/>
        <v>1.850000000000001</v>
      </c>
      <c r="B39" s="1">
        <f t="shared" si="1"/>
        <v>9.107692307692313</v>
      </c>
      <c r="C39" s="1">
        <f t="shared" si="2"/>
        <v>26.309689532824386</v>
      </c>
      <c r="D39" s="1">
        <f t="shared" si="3"/>
        <v>25.422222222222217</v>
      </c>
      <c r="E39" s="1">
        <f t="shared" si="4"/>
        <v>263.9560627595192</v>
      </c>
      <c r="F39" s="1">
        <f t="shared" si="5"/>
        <v>-20.447605616812954</v>
      </c>
      <c r="G39" s="1">
        <f t="shared" si="6"/>
        <v>17.63901546081658</v>
      </c>
      <c r="H39" s="1">
        <f t="shared" si="14"/>
        <v>135.29208164442898</v>
      </c>
      <c r="I39" s="1">
        <f t="shared" si="15"/>
        <v>19.73321622858196</v>
      </c>
      <c r="J39" s="1">
        <f t="shared" si="9"/>
        <v>20.081272060862414</v>
      </c>
      <c r="K39" s="1">
        <f t="shared" si="16"/>
        <v>52.11739876587314</v>
      </c>
      <c r="L39" s="1">
        <f t="shared" si="17"/>
        <v>55.85231187429405</v>
      </c>
    </row>
    <row r="40" spans="1:12" ht="12.75">
      <c r="A40" s="1">
        <f t="shared" si="8"/>
        <v>1.900000000000001</v>
      </c>
      <c r="B40" s="1">
        <f t="shared" si="1"/>
        <v>9.35384615384616</v>
      </c>
      <c r="C40" s="1">
        <f t="shared" si="2"/>
        <v>25.96193845845702</v>
      </c>
      <c r="D40" s="1">
        <f t="shared" si="3"/>
        <v>25.24444444444444</v>
      </c>
      <c r="E40" s="1">
        <f t="shared" si="4"/>
        <v>268.8425181903019</v>
      </c>
      <c r="F40" s="1">
        <f t="shared" si="5"/>
        <v>-20.465528355858588</v>
      </c>
      <c r="G40" s="1">
        <f t="shared" si="6"/>
        <v>17.491099516440137</v>
      </c>
      <c r="H40" s="1">
        <f t="shared" si="14"/>
        <v>136.71358924818352</v>
      </c>
      <c r="I40" s="1">
        <f t="shared" si="15"/>
        <v>23.599256343398032</v>
      </c>
      <c r="J40" s="1">
        <f t="shared" si="9"/>
        <v>19.384194596652883</v>
      </c>
      <c r="K40" s="1">
        <f t="shared" si="16"/>
        <v>52.71872883840098</v>
      </c>
      <c r="L40" s="1">
        <f t="shared" si="17"/>
        <v>56.16948789598992</v>
      </c>
    </row>
    <row r="41" spans="1:12" ht="12.75">
      <c r="A41" s="1">
        <f t="shared" si="8"/>
        <v>1.950000000000001</v>
      </c>
      <c r="B41" s="1">
        <f t="shared" si="1"/>
        <v>9.600000000000005</v>
      </c>
      <c r="C41" s="1">
        <f t="shared" si="2"/>
        <v>25.599999999999994</v>
      </c>
      <c r="D41" s="1">
        <f t="shared" si="3"/>
        <v>25.066666666666663</v>
      </c>
      <c r="E41" s="1">
        <f t="shared" si="4"/>
        <v>273.89564091274264</v>
      </c>
      <c r="F41" s="1">
        <f t="shared" si="5"/>
        <v>-20.480411241106026</v>
      </c>
      <c r="G41" s="1">
        <f t="shared" si="6"/>
        <v>17.350807853611762</v>
      </c>
      <c r="H41" s="1">
        <f t="shared" si="14"/>
        <v>138.08393303104842</v>
      </c>
      <c r="I41" s="1">
        <f t="shared" si="15"/>
        <v>27.509024207005204</v>
      </c>
      <c r="J41" s="1">
        <f t="shared" si="9"/>
        <v>18.686506129975886</v>
      </c>
      <c r="K41" s="1">
        <f t="shared" si="16"/>
        <v>53.315016321915984</v>
      </c>
      <c r="L41" s="1">
        <f t="shared" si="17"/>
        <v>56.494924345040005</v>
      </c>
    </row>
    <row r="42" spans="1:12" ht="12.75">
      <c r="A42" s="1">
        <f t="shared" si="8"/>
        <v>2.000000000000001</v>
      </c>
      <c r="B42" s="1">
        <f t="shared" si="1"/>
        <v>9.84615384615385</v>
      </c>
      <c r="C42" s="1">
        <f t="shared" si="2"/>
        <v>25.22326342390054</v>
      </c>
      <c r="D42" s="1">
        <f t="shared" si="3"/>
        <v>24.888888888888886</v>
      </c>
      <c r="E42" s="1">
        <f t="shared" si="4"/>
        <v>279.12040835363877</v>
      </c>
      <c r="F42" s="1">
        <f t="shared" si="5"/>
        <v>-20.492450712577487</v>
      </c>
      <c r="G42" s="1">
        <f t="shared" si="6"/>
        <v>17.2181009254264</v>
      </c>
      <c r="H42" s="1">
        <f t="shared" si="14"/>
        <v>139.40307578581056</v>
      </c>
      <c r="I42" s="1">
        <f t="shared" si="15"/>
        <v>31.462169090246405</v>
      </c>
      <c r="J42" s="1">
        <f t="shared" si="9"/>
        <v>17.988310292210908</v>
      </c>
      <c r="K42" s="1">
        <f t="shared" si="16"/>
        <v>53.90652113510729</v>
      </c>
      <c r="L42" s="1">
        <f t="shared" si="17"/>
        <v>56.82862243674951</v>
      </c>
    </row>
    <row r="43" spans="1:12" ht="12.75">
      <c r="A43" s="1">
        <f t="shared" si="8"/>
        <v>2.0500000000000007</v>
      </c>
      <c r="B43" s="1">
        <f t="shared" si="1"/>
        <v>10.092307692307696</v>
      </c>
      <c r="C43" s="1">
        <f t="shared" si="2"/>
        <v>24.83105518851641</v>
      </c>
      <c r="D43" s="1">
        <f t="shared" si="3"/>
        <v>24.71111111111111</v>
      </c>
      <c r="E43" s="1">
        <f t="shared" si="4"/>
        <v>284.5219774511958</v>
      </c>
      <c r="F43" s="1">
        <f t="shared" si="5"/>
        <v>-20.501836714085805</v>
      </c>
      <c r="G43" s="1">
        <f t="shared" si="6"/>
        <v>17.09293357650627</v>
      </c>
      <c r="H43" s="1">
        <f t="shared" si="14"/>
        <v>140.67098741379124</v>
      </c>
      <c r="I43" s="1">
        <f t="shared" si="15"/>
        <v>35.458359225801175</v>
      </c>
      <c r="J43" s="1">
        <f t="shared" si="9"/>
        <v>17.289704017918496</v>
      </c>
      <c r="K43" s="1">
        <f t="shared" si="16"/>
        <v>54.4935018484741</v>
      </c>
      <c r="L43" s="1">
        <f t="shared" si="17"/>
        <v>57.170583421344205</v>
      </c>
    </row>
    <row r="44" spans="1:12" ht="12.75">
      <c r="A44" s="1">
        <f t="shared" si="8"/>
        <v>2.1000000000000005</v>
      </c>
      <c r="B44" s="1">
        <f t="shared" si="1"/>
        <v>10.33846153846154</v>
      </c>
      <c r="C44" s="1">
        <f t="shared" si="2"/>
        <v>24.42262991716915</v>
      </c>
      <c r="D44" s="1">
        <f t="shared" si="3"/>
        <v>24.42262991716915</v>
      </c>
      <c r="E44" s="1">
        <f t="shared" si="4"/>
        <v>291.42068841349925</v>
      </c>
      <c r="F44" s="1">
        <f t="shared" si="5"/>
        <v>-20.402754052425873</v>
      </c>
      <c r="G44" s="1">
        <f t="shared" si="6"/>
        <v>16.943325120219875</v>
      </c>
      <c r="H44" s="1">
        <f t="shared" si="14"/>
        <v>141.8876444499867</v>
      </c>
      <c r="I44" s="1">
        <f t="shared" si="15"/>
        <v>39.49728169529721</v>
      </c>
      <c r="J44" s="1">
        <f t="shared" si="9"/>
        <v>16.590777766301933</v>
      </c>
      <c r="K44" s="1">
        <f t="shared" si="16"/>
        <v>55.07621549312772</v>
      </c>
      <c r="L44" s="1">
        <f t="shared" si="17"/>
        <v>57.52080858207976</v>
      </c>
    </row>
    <row r="45" spans="1:12" ht="12.75">
      <c r="A45" s="1">
        <f t="shared" si="8"/>
        <v>2.1500000000000004</v>
      </c>
      <c r="B45" s="1">
        <f t="shared" si="1"/>
        <v>10.584615384615386</v>
      </c>
      <c r="C45" s="1">
        <f t="shared" si="2"/>
        <v>23.99715959523237</v>
      </c>
      <c r="D45" s="1">
        <f t="shared" si="3"/>
        <v>23.99715959523237</v>
      </c>
      <c r="E45" s="1">
        <f t="shared" si="4"/>
        <v>300.2954250002009</v>
      </c>
      <c r="F45" s="1">
        <f t="shared" si="5"/>
        <v>-20.16765988642515</v>
      </c>
      <c r="G45" s="1">
        <f t="shared" si="6"/>
        <v>16.76792313271885</v>
      </c>
      <c r="H45" s="1">
        <f t="shared" si="14"/>
        <v>143.0532946010511</v>
      </c>
      <c r="I45" s="1">
        <f t="shared" si="15"/>
        <v>43.57856247759379</v>
      </c>
      <c r="J45" s="1">
        <f t="shared" si="9"/>
        <v>15.895229332696506</v>
      </c>
      <c r="K45" s="1">
        <f t="shared" si="16"/>
        <v>55.65382884949885</v>
      </c>
      <c r="L45" s="1">
        <f t="shared" si="17"/>
        <v>57.879244821855835</v>
      </c>
    </row>
    <row r="46" spans="1:12" ht="12.75">
      <c r="A46" s="1">
        <f t="shared" si="8"/>
        <v>2.2</v>
      </c>
      <c r="B46" s="1">
        <f t="shared" si="1"/>
        <v>10.830769230769231</v>
      </c>
      <c r="C46" s="1">
        <f t="shared" si="2"/>
        <v>23.553720544306582</v>
      </c>
      <c r="D46" s="1">
        <f t="shared" si="3"/>
        <v>23.553720544306582</v>
      </c>
      <c r="E46" s="1">
        <f t="shared" si="4"/>
        <v>309.8367964158177</v>
      </c>
      <c r="F46" s="1">
        <f t="shared" si="5"/>
        <v>-19.90885535735173</v>
      </c>
      <c r="G46" s="1">
        <f t="shared" si="6"/>
        <v>16.604842425314217</v>
      </c>
      <c r="H46" s="1">
        <f t="shared" si="14"/>
        <v>144.16852560239946</v>
      </c>
      <c r="I46" s="1">
        <f t="shared" si="15"/>
        <v>47.70176306772217</v>
      </c>
      <c r="J46" s="1">
        <f t="shared" si="9"/>
        <v>15.207695472932011</v>
      </c>
      <c r="K46" s="1">
        <f t="shared" si="16"/>
        <v>56.22546259265972</v>
      </c>
      <c r="L46" s="1">
        <f t="shared" si="17"/>
        <v>58.24582942456922</v>
      </c>
    </row>
    <row r="47" spans="1:12" ht="12.75">
      <c r="A47" s="1">
        <f t="shared" si="8"/>
        <v>2.25</v>
      </c>
      <c r="B47" s="1">
        <f t="shared" si="1"/>
        <v>11.076923076923077</v>
      </c>
      <c r="C47" s="1">
        <f t="shared" si="2"/>
        <v>23.091277586823036</v>
      </c>
      <c r="D47" s="1">
        <f t="shared" si="3"/>
        <v>23.091277586823036</v>
      </c>
      <c r="E47" s="1">
        <f t="shared" si="4"/>
        <v>320.1214720317582</v>
      </c>
      <c r="F47" s="1">
        <f t="shared" si="5"/>
        <v>-19.62541297956222</v>
      </c>
      <c r="G47" s="1">
        <f t="shared" si="6"/>
        <v>16.45443681276931</v>
      </c>
      <c r="H47" s="1">
        <f t="shared" si="14"/>
        <v>145.2339844653544</v>
      </c>
      <c r="I47" s="1">
        <f t="shared" si="15"/>
        <v>51.86647576391383</v>
      </c>
      <c r="J47" s="1">
        <f t="shared" si="9"/>
        <v>14.528984494840476</v>
      </c>
      <c r="K47" s="1">
        <f t="shared" si="16"/>
        <v>56.791536766249976</v>
      </c>
      <c r="L47" s="1">
        <f t="shared" si="17"/>
        <v>58.62055986361472</v>
      </c>
    </row>
    <row r="48" spans="1:12" ht="12.75">
      <c r="A48" s="1">
        <f t="shared" si="8"/>
        <v>2.3</v>
      </c>
      <c r="B48" s="1">
        <f t="shared" si="1"/>
        <v>11.323076923076922</v>
      </c>
      <c r="C48" s="1">
        <f t="shared" si="2"/>
        <v>22.60866462169607</v>
      </c>
      <c r="D48" s="1">
        <f t="shared" si="3"/>
        <v>22.60866462169607</v>
      </c>
      <c r="E48" s="1">
        <f t="shared" si="4"/>
        <v>331.2397934252136</v>
      </c>
      <c r="F48" s="1">
        <f t="shared" si="5"/>
        <v>-19.3162646017095</v>
      </c>
      <c r="G48" s="1">
        <f t="shared" si="6"/>
        <v>16.31703737873372</v>
      </c>
      <c r="H48" s="1">
        <f t="shared" si="14"/>
        <v>146.25037979586048</v>
      </c>
      <c r="I48" s="1">
        <f t="shared" si="15"/>
        <v>56.072324552137424</v>
      </c>
      <c r="J48" s="1">
        <f t="shared" si="9"/>
        <v>13.859936325082673</v>
      </c>
      <c r="K48" s="1">
        <f t="shared" si="16"/>
        <v>57.352483475776204</v>
      </c>
      <c r="L48" s="1">
        <f t="shared" si="17"/>
        <v>59.0034337625746</v>
      </c>
    </row>
    <row r="49" spans="1:12" ht="12.75">
      <c r="A49" s="1">
        <f t="shared" si="8"/>
        <v>2.3499999999999996</v>
      </c>
      <c r="B49" s="1">
        <f t="shared" si="1"/>
        <v>11.569230769230767</v>
      </c>
      <c r="C49" s="1">
        <f t="shared" si="2"/>
        <v>22.10456056186452</v>
      </c>
      <c r="D49" s="1">
        <f t="shared" si="3"/>
        <v>22.10456056186452</v>
      </c>
      <c r="E49" s="1">
        <f t="shared" si="4"/>
        <v>343.29910556807766</v>
      </c>
      <c r="F49" s="1">
        <f t="shared" si="5"/>
        <v>-18.98017487437704</v>
      </c>
      <c r="G49" s="1">
        <f t="shared" si="6"/>
        <v>16.19295093437014</v>
      </c>
      <c r="H49" s="1">
        <f t="shared" si="14"/>
        <v>147.21848446486226</v>
      </c>
      <c r="I49" s="1">
        <f t="shared" si="15"/>
        <v>60.318965933807846</v>
      </c>
      <c r="J49" s="1">
        <f t="shared" si="9"/>
        <v>13.20142730456985</v>
      </c>
      <c r="K49" s="1">
        <f t="shared" si="16"/>
        <v>57.90874611368758</v>
      </c>
      <c r="L49" s="1">
        <f t="shared" si="17"/>
        <v>59.39444889328773</v>
      </c>
    </row>
    <row r="50" spans="1:12" ht="12.75">
      <c r="A50" s="1">
        <f t="shared" si="8"/>
        <v>2.3999999999999995</v>
      </c>
      <c r="B50" s="1">
        <f t="shared" si="1"/>
        <v>11.815384615384612</v>
      </c>
      <c r="C50" s="1">
        <f t="shared" si="2"/>
        <v>21.577459200798653</v>
      </c>
      <c r="D50" s="1">
        <f t="shared" si="3"/>
        <v>21.577459200798653</v>
      </c>
      <c r="E50" s="1">
        <f t="shared" si="4"/>
        <v>356.4281440307019</v>
      </c>
      <c r="F50" s="1">
        <f t="shared" si="5"/>
        <v>-18.61570845055968</v>
      </c>
      <c r="G50" s="1">
        <f t="shared" si="6"/>
        <v>16.082458084986847</v>
      </c>
      <c r="H50" s="1">
        <f t="shared" si="14"/>
        <v>148.13913869667812</v>
      </c>
      <c r="I50" s="1">
        <f t="shared" si="15"/>
        <v>64.6060896928142</v>
      </c>
      <c r="J50" s="1">
        <f t="shared" si="9"/>
        <v>12.554375888397905</v>
      </c>
      <c r="K50" s="1">
        <f t="shared" si="16"/>
        <v>58.460778531904744</v>
      </c>
      <c r="L50" s="1">
        <f t="shared" si="17"/>
        <v>59.793603173781065</v>
      </c>
    </row>
    <row r="51" spans="1:12" ht="12.75">
      <c r="A51" s="1">
        <f t="shared" si="8"/>
        <v>2.4499999999999993</v>
      </c>
      <c r="B51" s="1">
        <f t="shared" si="1"/>
        <v>12.061538461538458</v>
      </c>
      <c r="C51" s="1">
        <f t="shared" si="2"/>
        <v>21.025631019384743</v>
      </c>
      <c r="D51" s="1">
        <f t="shared" si="3"/>
        <v>21.025631019384743</v>
      </c>
      <c r="E51" s="1">
        <f t="shared" si="4"/>
        <v>370.78289914778213</v>
      </c>
      <c r="F51" s="1">
        <f t="shared" si="5"/>
        <v>-18.221188880080565</v>
      </c>
      <c r="G51" s="1">
        <f t="shared" si="6"/>
        <v>15.985810758885949</v>
      </c>
      <c r="H51" s="1">
        <f t="shared" si="14"/>
        <v>149.01325365736756</v>
      </c>
      <c r="I51" s="1">
        <f t="shared" si="15"/>
        <v>68.93341959703301</v>
      </c>
      <c r="J51" s="1">
        <f t="shared" si="9"/>
        <v>11.919749463947007</v>
      </c>
      <c r="K51" s="1">
        <f t="shared" si="16"/>
        <v>59.009044148438385</v>
      </c>
      <c r="L51" s="1">
        <f t="shared" si="17"/>
        <v>60.20089466607299</v>
      </c>
    </row>
    <row r="52" spans="1:12" ht="12.75">
      <c r="A52" s="1">
        <f t="shared" si="8"/>
        <v>2.499999999999999</v>
      </c>
      <c r="B52" s="1">
        <f t="shared" si="1"/>
        <v>12.307692307692303</v>
      </c>
      <c r="C52" s="1">
        <f t="shared" si="2"/>
        <v>20.44707412410604</v>
      </c>
      <c r="D52" s="1">
        <f t="shared" si="3"/>
        <v>20.44707412410604</v>
      </c>
      <c r="E52" s="1">
        <f t="shared" si="4"/>
        <v>386.5545847174405</v>
      </c>
      <c r="F52" s="1">
        <f t="shared" si="5"/>
        <v>-17.7946463222636</v>
      </c>
      <c r="G52" s="1">
        <f t="shared" si="6"/>
        <v>15.903228994234654</v>
      </c>
      <c r="H52" s="1">
        <f t="shared" si="14"/>
        <v>149.8418156458568</v>
      </c>
      <c r="I52" s="1">
        <f t="shared" si="15"/>
        <v>73.30071402814905</v>
      </c>
      <c r="J52" s="1">
        <f t="shared" si="9"/>
        <v>11.298572570307897</v>
      </c>
      <c r="K52" s="1">
        <f t="shared" si="16"/>
        <v>59.55401496976404</v>
      </c>
      <c r="L52" s="1">
        <f t="shared" si="17"/>
        <v>60.61632157385825</v>
      </c>
    </row>
    <row r="53" spans="1:12" ht="12.75">
      <c r="A53" s="1">
        <f aca="true" t="shared" si="18" ref="A53:A67">A52+deltat</f>
        <v>2.549999999999999</v>
      </c>
      <c r="B53" s="1">
        <f t="shared" si="1"/>
        <v>12.553846153846148</v>
      </c>
      <c r="C53" s="1">
        <f t="shared" si="2"/>
        <v>19.839450269154362</v>
      </c>
      <c r="D53" s="1">
        <f aca="true" t="shared" si="19" ref="D53:D67">MAX(0,MIN(C53,g*(1-A53/k_unwind)))</f>
        <v>19.839450269154362</v>
      </c>
      <c r="E53" s="1">
        <f aca="true" t="shared" si="20" ref="E53:E67">(L53*L53*22*22/(15*15))/D53</f>
        <v>403.9806685713018</v>
      </c>
      <c r="F53" s="1">
        <f aca="true" t="shared" si="21" ref="F53:F67">MIN(0,B53*J53/L53-D53*K53/L53)</f>
        <v>-17.333749940412275</v>
      </c>
      <c r="G53" s="1">
        <f aca="true" t="shared" si="22" ref="G53:G67">MAX(0,B53*K53/L53+D53*J53/L53)</f>
        <v>15.834896691798916</v>
      </c>
      <c r="H53" s="1">
        <f aca="true" t="shared" si="23" ref="H53:H67">H52+J53*deltat*22/15</f>
        <v>150.6258910185404</v>
      </c>
      <c r="I53" s="1">
        <f aca="true" t="shared" si="24" ref="I53:I67">I52+K53*deltat*22/15</f>
        <v>77.70776653175066</v>
      </c>
      <c r="J53" s="1">
        <f t="shared" si="9"/>
        <v>10.69193690023073</v>
      </c>
      <c r="K53" s="1">
        <f aca="true" t="shared" si="25" ref="K53:K67">K52+G52*deltat*15/22</f>
        <v>60.096170503658406</v>
      </c>
      <c r="L53" s="1">
        <f aca="true" t="shared" si="26" ref="L53:L67">SQRT(K53*K53+J53*J53)</f>
        <v>61.039882240083806</v>
      </c>
    </row>
    <row r="54" spans="1:12" ht="12.75">
      <c r="A54" s="1">
        <f t="shared" si="18"/>
        <v>2.5999999999999988</v>
      </c>
      <c r="B54" s="1">
        <f t="shared" si="1"/>
        <v>12.799999999999994</v>
      </c>
      <c r="C54" s="1">
        <f t="shared" si="2"/>
        <v>19.200000000000017</v>
      </c>
      <c r="D54" s="1">
        <f t="shared" si="19"/>
        <v>19.200000000000017</v>
      </c>
      <c r="E54" s="1">
        <f t="shared" si="20"/>
        <v>423.3604635547564</v>
      </c>
      <c r="F54" s="1">
        <f t="shared" si="21"/>
        <v>-16.835718894861945</v>
      </c>
      <c r="G54" s="1">
        <f t="shared" si="22"/>
        <v>15.780955905558734</v>
      </c>
      <c r="H54" s="1">
        <f t="shared" si="23"/>
        <v>151.36663201637293</v>
      </c>
      <c r="I54" s="1">
        <f t="shared" si="24"/>
        <v>82.15440627708178</v>
      </c>
      <c r="J54" s="1">
        <f t="shared" si="9"/>
        <v>10.101013606807584</v>
      </c>
      <c r="K54" s="1">
        <f t="shared" si="25"/>
        <v>60.63599652724246</v>
      </c>
      <c r="L54" s="1">
        <f t="shared" si="26"/>
        <v>61.471575144424854</v>
      </c>
    </row>
    <row r="55" spans="1:12" ht="12.75">
      <c r="A55" s="1">
        <f t="shared" si="18"/>
        <v>2.6499999999999986</v>
      </c>
      <c r="B55" s="1">
        <f t="shared" si="1"/>
        <v>13.046153846153839</v>
      </c>
      <c r="C55" s="1">
        <f t="shared" si="2"/>
        <v>18.52542791111562</v>
      </c>
      <c r="D55" s="1">
        <f t="shared" si="19"/>
        <v>18.52542791111562</v>
      </c>
      <c r="E55" s="1">
        <f t="shared" si="20"/>
        <v>445.07769412306794</v>
      </c>
      <c r="F55" s="1">
        <f t="shared" si="21"/>
        <v>-16.297202760936816</v>
      </c>
      <c r="G55" s="1">
        <f t="shared" si="22"/>
        <v>15.74149902761391</v>
      </c>
      <c r="H55" s="1">
        <f t="shared" si="23"/>
        <v>152.06528371696834</v>
      </c>
      <c r="I55" s="1">
        <f t="shared" si="24"/>
        <v>86.64049841217678</v>
      </c>
      <c r="J55" s="1">
        <f t="shared" si="9"/>
        <v>9.527068644482744</v>
      </c>
      <c r="K55" s="1">
        <f t="shared" si="25"/>
        <v>61.17398366038651</v>
      </c>
      <c r="L55" s="1">
        <f t="shared" si="26"/>
        <v>61.91139890067032</v>
      </c>
    </row>
    <row r="56" spans="1:12" ht="12.75">
      <c r="A56" s="1">
        <f t="shared" si="18"/>
        <v>2.6999999999999984</v>
      </c>
      <c r="B56" s="1">
        <f t="shared" si="1"/>
        <v>13.292307692307684</v>
      </c>
      <c r="C56" s="1">
        <f t="shared" si="2"/>
        <v>17.811744014892867</v>
      </c>
      <c r="D56" s="1">
        <f t="shared" si="19"/>
        <v>17.811744014892867</v>
      </c>
      <c r="E56" s="1">
        <f t="shared" si="20"/>
        <v>469.63406320397104</v>
      </c>
      <c r="F56" s="1">
        <f t="shared" si="21"/>
        <v>-15.714117135262562</v>
      </c>
      <c r="G56" s="1">
        <f t="shared" si="22"/>
        <v>15.716557870548547</v>
      </c>
      <c r="H56" s="1">
        <f t="shared" si="23"/>
        <v>152.7231924106614</v>
      </c>
      <c r="I56" s="1">
        <f t="shared" si="24"/>
        <v>91.16594429484083</v>
      </c>
      <c r="J56" s="1">
        <f t="shared" si="9"/>
        <v>8.971482186723534</v>
      </c>
      <c r="K56" s="1">
        <f t="shared" si="25"/>
        <v>61.710625672691535</v>
      </c>
      <c r="L56" s="1">
        <f t="shared" si="26"/>
        <v>62.35935225402645</v>
      </c>
    </row>
    <row r="57" spans="1:12" ht="12.75">
      <c r="A57" s="1">
        <f t="shared" si="18"/>
        <v>2.7499999999999982</v>
      </c>
      <c r="B57" s="1">
        <f t="shared" si="1"/>
        <v>13.53846153846153</v>
      </c>
      <c r="C57" s="1">
        <f t="shared" si="2"/>
        <v>17.054038720678207</v>
      </c>
      <c r="D57" s="1">
        <f t="shared" si="19"/>
        <v>17.054038720678207</v>
      </c>
      <c r="E57" s="1">
        <f t="shared" si="20"/>
        <v>497.7007891391167</v>
      </c>
      <c r="F57" s="1">
        <f t="shared" si="21"/>
        <v>-15.081411594041109</v>
      </c>
      <c r="G57" s="1">
        <f t="shared" si="22"/>
        <v>15.706088050368116</v>
      </c>
      <c r="H57" s="1">
        <f t="shared" si="23"/>
        <v>153.3418158115163</v>
      </c>
      <c r="I57" s="1">
        <f t="shared" si="24"/>
        <v>95.73068157218124</v>
      </c>
      <c r="J57" s="1">
        <f t="shared" si="9"/>
        <v>8.435773648021401</v>
      </c>
      <c r="K57" s="1">
        <f t="shared" si="25"/>
        <v>62.24641741827842</v>
      </c>
      <c r="L57" s="1">
        <f t="shared" si="26"/>
        <v>62.815434078347394</v>
      </c>
    </row>
    <row r="58" spans="1:12" ht="12.75">
      <c r="A58" s="1">
        <f t="shared" si="18"/>
        <v>2.799999999999998</v>
      </c>
      <c r="B58" s="1">
        <f t="shared" si="1"/>
        <v>13.784615384615375</v>
      </c>
      <c r="C58" s="1">
        <f t="shared" si="2"/>
        <v>16.24615384615388</v>
      </c>
      <c r="D58" s="1">
        <f t="shared" si="19"/>
        <v>16.24615384615388</v>
      </c>
      <c r="E58" s="1">
        <f t="shared" si="20"/>
        <v>530.2007379256115</v>
      </c>
      <c r="F58" s="1">
        <f t="shared" si="21"/>
        <v>-14.392731931665427</v>
      </c>
      <c r="G58" s="1">
        <f t="shared" si="22"/>
        <v>15.709946010024787</v>
      </c>
      <c r="H58" s="1">
        <f t="shared" si="23"/>
        <v>153.92273568338612</v>
      </c>
      <c r="I58" s="1">
        <f t="shared" si="24"/>
        <v>100.33468406964758</v>
      </c>
      <c r="J58" s="1">
        <f t="shared" si="9"/>
        <v>7.921634616406363</v>
      </c>
      <c r="K58" s="1">
        <f t="shared" si="25"/>
        <v>62.78185223817733</v>
      </c>
      <c r="L58" s="1">
        <f t="shared" si="26"/>
        <v>63.27964337330118</v>
      </c>
    </row>
    <row r="59" spans="1:12" ht="12.75">
      <c r="A59" s="1">
        <f t="shared" si="18"/>
        <v>2.849999999999998</v>
      </c>
      <c r="B59" s="1">
        <f t="shared" si="1"/>
        <v>14.03076923076922</v>
      </c>
      <c r="C59" s="1">
        <f t="shared" si="2"/>
        <v>15.380183977170066</v>
      </c>
      <c r="D59" s="1">
        <f t="shared" si="19"/>
        <v>15.380183977170066</v>
      </c>
      <c r="E59" s="1">
        <f t="shared" si="20"/>
        <v>568.4452713213857</v>
      </c>
      <c r="F59" s="1">
        <f t="shared" si="21"/>
        <v>-13.63991024662085</v>
      </c>
      <c r="G59" s="1">
        <f t="shared" si="22"/>
        <v>15.72785404442789</v>
      </c>
      <c r="H59" s="1">
        <f t="shared" si="23"/>
        <v>154.46767372542675</v>
      </c>
      <c r="I59" s="1">
        <f t="shared" si="24"/>
        <v>104.97796143213898</v>
      </c>
      <c r="J59" s="1">
        <f t="shared" si="9"/>
        <v>7.4309733005541325</v>
      </c>
      <c r="K59" s="1">
        <f t="shared" si="25"/>
        <v>63.31741857942817</v>
      </c>
      <c r="L59" s="1">
        <f t="shared" si="26"/>
        <v>63.75197926147912</v>
      </c>
    </row>
    <row r="60" spans="1:12" ht="12.75">
      <c r="A60" s="1">
        <f t="shared" si="18"/>
        <v>2.8999999999999977</v>
      </c>
      <c r="B60" s="1">
        <f t="shared" si="1"/>
        <v>14.276923076923065</v>
      </c>
      <c r="C60" s="1">
        <f t="shared" si="2"/>
        <v>14.445686893411699</v>
      </c>
      <c r="D60" s="1">
        <f t="shared" si="19"/>
        <v>14.445686893411699</v>
      </c>
      <c r="E60" s="1">
        <f t="shared" si="20"/>
        <v>614.3749491488157</v>
      </c>
      <c r="F60" s="1">
        <f t="shared" si="21"/>
        <v>-12.812160416212652</v>
      </c>
      <c r="G60" s="1">
        <f t="shared" si="22"/>
        <v>15.759344778133975</v>
      </c>
      <c r="H60" s="1">
        <f t="shared" si="23"/>
        <v>154.97851199185084</v>
      </c>
      <c r="I60" s="1">
        <f t="shared" si="24"/>
        <v>109.66055842974146</v>
      </c>
      <c r="J60" s="1">
        <f t="shared" si="9"/>
        <v>6.965976360328422</v>
      </c>
      <c r="K60" s="1">
        <f t="shared" si="25"/>
        <v>63.85359542185185</v>
      </c>
      <c r="L60" s="1">
        <f t="shared" si="26"/>
        <v>64.23244098545682</v>
      </c>
    </row>
    <row r="61" spans="1:12" ht="12.75">
      <c r="A61" s="1">
        <f t="shared" si="18"/>
        <v>2.9499999999999975</v>
      </c>
      <c r="B61" s="1">
        <f t="shared" si="1"/>
        <v>14.52307692307691</v>
      </c>
      <c r="C61" s="1">
        <f t="shared" si="2"/>
        <v>13.428363517032281</v>
      </c>
      <c r="D61" s="1">
        <f t="shared" si="19"/>
        <v>13.428363517032281</v>
      </c>
      <c r="E61" s="1">
        <f t="shared" si="20"/>
        <v>671.0124318267664</v>
      </c>
      <c r="F61" s="1">
        <f t="shared" si="21"/>
        <v>-11.894737498277713</v>
      </c>
      <c r="G61" s="1">
        <f t="shared" si="22"/>
        <v>15.803668242096162</v>
      </c>
      <c r="H61" s="1">
        <f t="shared" si="23"/>
        <v>155.45731985723438</v>
      </c>
      <c r="I61" s="1">
        <f t="shared" si="24"/>
        <v>114.38255378928926</v>
      </c>
      <c r="J61" s="1">
        <f t="shared" si="9"/>
        <v>6.529198164321172</v>
      </c>
      <c r="K61" s="1">
        <f t="shared" si="25"/>
        <v>64.39084581201551</v>
      </c>
      <c r="L61" s="1">
        <f t="shared" si="26"/>
        <v>64.72102790481414</v>
      </c>
    </row>
    <row r="62" spans="1:12" ht="12.75">
      <c r="A62" s="1">
        <f t="shared" si="18"/>
        <v>2.9999999999999973</v>
      </c>
      <c r="B62" s="1">
        <f t="shared" si="1"/>
        <v>14.769230769230756</v>
      </c>
      <c r="C62" s="1">
        <f t="shared" si="2"/>
        <v>12.307692307692372</v>
      </c>
      <c r="D62" s="1">
        <f t="shared" si="19"/>
        <v>12.307692307692372</v>
      </c>
      <c r="E62" s="1">
        <f t="shared" si="20"/>
        <v>743.3916806271382</v>
      </c>
      <c r="F62" s="1">
        <f t="shared" si="21"/>
        <v>-10.866542711535041</v>
      </c>
      <c r="G62" s="1">
        <f t="shared" si="22"/>
        <v>15.859625372435731</v>
      </c>
      <c r="H62" s="1">
        <f t="shared" si="23"/>
        <v>155.90639087887223</v>
      </c>
      <c r="I62" s="1">
        <f t="shared" si="24"/>
        <v>119.14405831944231</v>
      </c>
      <c r="J62" s="1">
        <f t="shared" si="9"/>
        <v>6.123695749607159</v>
      </c>
      <c r="K62" s="1">
        <f t="shared" si="25"/>
        <v>64.9296072293597</v>
      </c>
      <c r="L62" s="1">
        <f t="shared" si="26"/>
        <v>65.21773949312163</v>
      </c>
    </row>
    <row r="63" spans="1:12" ht="12.75">
      <c r="A63" s="1">
        <f t="shared" si="18"/>
        <v>3.049999999999997</v>
      </c>
      <c r="B63" s="1">
        <f t="shared" si="1"/>
        <v>15.015384615384601</v>
      </c>
      <c r="C63" s="1">
        <f t="shared" si="2"/>
        <v>11.052280280932335</v>
      </c>
      <c r="D63" s="1">
        <f t="shared" si="19"/>
        <v>11.052280280932335</v>
      </c>
      <c r="E63" s="1">
        <f t="shared" si="20"/>
        <v>840.6981649023517</v>
      </c>
      <c r="F63" s="1">
        <f t="shared" si="21"/>
        <v>-9.69543033440887</v>
      </c>
      <c r="G63" s="1">
        <f t="shared" si="22"/>
        <v>15.925241134338862</v>
      </c>
      <c r="H63" s="1">
        <f t="shared" si="23"/>
        <v>156.32829554373126</v>
      </c>
      <c r="I63" s="1">
        <f t="shared" si="24"/>
        <v>123.94521191302644</v>
      </c>
      <c r="J63" s="1">
        <f t="shared" si="9"/>
        <v>5.753245429895737</v>
      </c>
      <c r="K63" s="1">
        <f t="shared" si="25"/>
        <v>65.47027627614729</v>
      </c>
      <c r="L63" s="1">
        <f t="shared" si="26"/>
        <v>65.7225753349005</v>
      </c>
    </row>
    <row r="64" spans="1:12" ht="12.75">
      <c r="A64" s="1">
        <f t="shared" si="18"/>
        <v>3.099999999999997</v>
      </c>
      <c r="B64" s="1">
        <f t="shared" si="1"/>
        <v>15.261538461538446</v>
      </c>
      <c r="C64" s="1">
        <f t="shared" si="2"/>
        <v>9.609462791849026</v>
      </c>
      <c r="D64" s="1">
        <f t="shared" si="19"/>
        <v>9.609462791849026</v>
      </c>
      <c r="E64" s="1">
        <f t="shared" si="20"/>
        <v>982.0776617905618</v>
      </c>
      <c r="F64" s="1">
        <f t="shared" si="21"/>
        <v>-8.327737923561505</v>
      </c>
      <c r="G64" s="1">
        <f t="shared" si="22"/>
        <v>15.997034488848978</v>
      </c>
      <c r="H64" s="1">
        <f t="shared" si="23"/>
        <v>156.72596163275426</v>
      </c>
      <c r="I64" s="1">
        <f t="shared" si="24"/>
        <v>128.7861786094464</v>
      </c>
      <c r="J64" s="1">
        <f t="shared" si="9"/>
        <v>5.422719395768162</v>
      </c>
      <c r="K64" s="1">
        <f t="shared" si="25"/>
        <v>66.01318222390884</v>
      </c>
      <c r="L64" s="1">
        <f t="shared" si="26"/>
        <v>66.23553512256268</v>
      </c>
    </row>
    <row r="65" spans="1:12" ht="12.75">
      <c r="A65" s="1">
        <f t="shared" si="18"/>
        <v>3.149999999999997</v>
      </c>
      <c r="B65" s="1">
        <f t="shared" si="1"/>
        <v>15.507692307692292</v>
      </c>
      <c r="C65" s="1">
        <f t="shared" si="2"/>
        <v>7.876923076923202</v>
      </c>
      <c r="D65" s="1">
        <f t="shared" si="19"/>
        <v>7.876923076923202</v>
      </c>
      <c r="E65" s="1">
        <f t="shared" si="20"/>
        <v>1217.0121126431584</v>
      </c>
      <c r="F65" s="1">
        <f t="shared" si="21"/>
        <v>-6.659792646555854</v>
      </c>
      <c r="G65" s="1">
        <f t="shared" si="22"/>
        <v>16.068030363884198</v>
      </c>
      <c r="H65" s="1">
        <f t="shared" si="23"/>
        <v>157.10280837696837</v>
      </c>
      <c r="I65" s="1">
        <f t="shared" si="24"/>
        <v>133.6671378920885</v>
      </c>
      <c r="J65" s="1">
        <f t="shared" si="9"/>
        <v>5.1388192392831105</v>
      </c>
      <c r="K65" s="1">
        <f t="shared" si="25"/>
        <v>66.55853567239232</v>
      </c>
      <c r="L65" s="1">
        <f t="shared" si="26"/>
        <v>66.75661865333764</v>
      </c>
    </row>
    <row r="66" spans="1:12" ht="12.75">
      <c r="A66" s="1">
        <f t="shared" si="18"/>
        <v>3.1999999999999966</v>
      </c>
      <c r="B66" s="1">
        <f t="shared" si="1"/>
        <v>15.753846153846137</v>
      </c>
      <c r="C66" s="1">
        <f t="shared" si="2"/>
        <v>5.591540525095848</v>
      </c>
      <c r="D66" s="1">
        <f t="shared" si="19"/>
        <v>5.591540525095848</v>
      </c>
      <c r="E66" s="1">
        <f t="shared" si="20"/>
        <v>1741.720810020678</v>
      </c>
      <c r="F66" s="1">
        <f t="shared" si="21"/>
        <v>-4.426611476160991</v>
      </c>
      <c r="G66" s="1">
        <f t="shared" si="22"/>
        <v>16.11999084745279</v>
      </c>
      <c r="H66" s="1">
        <f t="shared" si="23"/>
        <v>157.46300563956606</v>
      </c>
      <c r="I66" s="1">
        <f t="shared" si="24"/>
        <v>138.5882672506403</v>
      </c>
      <c r="J66" s="1">
        <f t="shared" si="9"/>
        <v>4.9117808536050696</v>
      </c>
      <c r="K66" s="1">
        <f t="shared" si="25"/>
        <v>67.10630943479747</v>
      </c>
      <c r="L66" s="1">
        <f t="shared" si="26"/>
        <v>67.28582582619187</v>
      </c>
    </row>
    <row r="67" spans="1:12" ht="12.75">
      <c r="A67" s="1">
        <f t="shared" si="18"/>
        <v>3.2499999999999964</v>
      </c>
      <c r="B67" s="1">
        <f aca="true" t="shared" si="27" ref="B67:B130">amax*MIN(1,(A67/k))</f>
        <v>15.999999999999982</v>
      </c>
      <c r="C67" s="1">
        <f aca="true" t="shared" si="28" ref="C67:C130">g*SQRT(1-B67*B67/(amax*amax))</f>
        <v>1.5078914929239175E-06</v>
      </c>
      <c r="D67" s="1">
        <f t="shared" si="19"/>
        <v>1.5078914929239175E-06</v>
      </c>
      <c r="E67" s="1">
        <f t="shared" si="20"/>
        <v>6562189239.291135</v>
      </c>
      <c r="F67" s="1">
        <f t="shared" si="21"/>
        <v>0</v>
      </c>
      <c r="G67" s="1">
        <f t="shared" si="22"/>
        <v>15.9605322733924</v>
      </c>
      <c r="H67" s="1">
        <f t="shared" si="23"/>
        <v>157.81213637347338</v>
      </c>
      <c r="I67" s="1">
        <f t="shared" si="24"/>
        <v>143.54969658631077</v>
      </c>
      <c r="J67" s="1">
        <f t="shared" si="9"/>
        <v>4.76087364419049</v>
      </c>
      <c r="K67" s="1">
        <f t="shared" si="25"/>
        <v>67.65585457732426</v>
      </c>
      <c r="L67" s="1">
        <f t="shared" si="26"/>
        <v>67.8231566387469</v>
      </c>
    </row>
    <row r="68" spans="1:12" ht="12.75">
      <c r="A68" s="1">
        <f aca="true" t="shared" si="29" ref="A68:A73">A67+deltat</f>
        <v>3.2999999999999963</v>
      </c>
      <c r="B68" s="1">
        <f t="shared" si="27"/>
        <v>16</v>
      </c>
      <c r="C68" s="1">
        <f t="shared" si="28"/>
        <v>0</v>
      </c>
      <c r="D68" s="1">
        <f aca="true" t="shared" si="30" ref="D68:D73">MAX(0,MIN(C68,g*(1-A68/k_unwind)))</f>
        <v>0</v>
      </c>
      <c r="E68" s="1" t="e">
        <f aca="true" t="shared" si="31" ref="E68:E73">(L68*L68*22*22/(15*15))/D68</f>
        <v>#DIV/0!</v>
      </c>
      <c r="F68" s="1">
        <f aca="true" t="shared" si="32" ref="F68:F73">MIN(0,B68*J68/L68-D68*K68/L68)</f>
        <v>0</v>
      </c>
      <c r="G68" s="1">
        <f aca="true" t="shared" si="33" ref="G68:G73">MAX(0,B68*K68/L68+D68*J68/L68)</f>
        <v>15.961157133129658</v>
      </c>
      <c r="H68" s="1">
        <f aca="true" t="shared" si="34" ref="H68:H73">H67+J68*deltat*22/15</f>
        <v>158.1612671073807</v>
      </c>
      <c r="I68" s="1">
        <f aca="true" t="shared" si="35" ref="I68:I73">I67+K68*deltat*22/15</f>
        <v>148.5510272526647</v>
      </c>
      <c r="J68" s="1">
        <f aca="true" t="shared" si="36" ref="J68:J85">MAX(0,J67+F67*deltat*15/22)</f>
        <v>4.76087364419049</v>
      </c>
      <c r="K68" s="1">
        <f aca="true" t="shared" si="37" ref="K68:K73">K67+G67*deltat*15/22</f>
        <v>68.199963632099</v>
      </c>
      <c r="L68" s="1">
        <f aca="true" t="shared" si="38" ref="L68:L73">SQRT(K68*K68+J68*J68)</f>
        <v>68.36593418710501</v>
      </c>
    </row>
    <row r="69" spans="1:12" ht="12.75">
      <c r="A69" s="1">
        <f t="shared" si="29"/>
        <v>3.349999999999996</v>
      </c>
      <c r="B69" s="1">
        <f t="shared" si="27"/>
        <v>16</v>
      </c>
      <c r="C69" s="1">
        <f t="shared" si="28"/>
        <v>0</v>
      </c>
      <c r="D69" s="1">
        <f t="shared" si="30"/>
        <v>0</v>
      </c>
      <c r="E69" s="1" t="e">
        <f t="shared" si="31"/>
        <v>#DIV/0!</v>
      </c>
      <c r="F69" s="1">
        <f t="shared" si="32"/>
        <v>0</v>
      </c>
      <c r="G69" s="1">
        <f t="shared" si="33"/>
        <v>15.961767412167116</v>
      </c>
      <c r="H69" s="1">
        <f t="shared" si="34"/>
        <v>158.510397841288</v>
      </c>
      <c r="I69" s="1">
        <f t="shared" si="35"/>
        <v>153.59226081185147</v>
      </c>
      <c r="J69" s="1">
        <f t="shared" si="36"/>
        <v>4.76087364419049</v>
      </c>
      <c r="K69" s="1">
        <f t="shared" si="37"/>
        <v>68.74409398891024</v>
      </c>
      <c r="L69" s="1">
        <f t="shared" si="38"/>
        <v>68.90875398824211</v>
      </c>
    </row>
    <row r="70" spans="1:12" ht="12.75">
      <c r="A70" s="1">
        <f t="shared" si="29"/>
        <v>3.399999999999996</v>
      </c>
      <c r="B70" s="1">
        <f t="shared" si="27"/>
        <v>16</v>
      </c>
      <c r="C70" s="1">
        <f t="shared" si="28"/>
        <v>0</v>
      </c>
      <c r="D70" s="1">
        <f t="shared" si="30"/>
        <v>0</v>
      </c>
      <c r="E70" s="1" t="e">
        <f t="shared" si="31"/>
        <v>#DIV/0!</v>
      </c>
      <c r="F70" s="1">
        <f t="shared" si="32"/>
        <v>0</v>
      </c>
      <c r="G70" s="1">
        <f t="shared" si="33"/>
        <v>15.962363459993774</v>
      </c>
      <c r="H70" s="1">
        <f t="shared" si="34"/>
        <v>158.85952857519533</v>
      </c>
      <c r="I70" s="1">
        <f t="shared" si="35"/>
        <v>158.67339878956864</v>
      </c>
      <c r="J70" s="1">
        <f t="shared" si="36"/>
        <v>4.76087364419049</v>
      </c>
      <c r="K70" s="1">
        <f t="shared" si="37"/>
        <v>69.28824515068867</v>
      </c>
      <c r="L70" s="1">
        <f t="shared" si="38"/>
        <v>69.4516150562237</v>
      </c>
    </row>
    <row r="71" spans="1:12" ht="12.75">
      <c r="A71" s="1">
        <f t="shared" si="29"/>
        <v>3.4499999999999957</v>
      </c>
      <c r="B71" s="1">
        <f t="shared" si="27"/>
        <v>16</v>
      </c>
      <c r="C71" s="1">
        <f t="shared" si="28"/>
        <v>0</v>
      </c>
      <c r="D71" s="1">
        <f t="shared" si="30"/>
        <v>0</v>
      </c>
      <c r="E71" s="1" t="e">
        <f t="shared" si="31"/>
        <v>#DIV/0!</v>
      </c>
      <c r="F71" s="1">
        <f t="shared" si="32"/>
        <v>0</v>
      </c>
      <c r="G71" s="1">
        <f t="shared" si="33"/>
        <v>15.9629457144794</v>
      </c>
      <c r="H71" s="1">
        <f t="shared" si="34"/>
        <v>159.20865930910264</v>
      </c>
      <c r="I71" s="1">
        <f t="shared" si="35"/>
        <v>163.79444267593578</v>
      </c>
      <c r="J71" s="1">
        <f t="shared" si="36"/>
        <v>4.76087364419049</v>
      </c>
      <c r="K71" s="1">
        <f t="shared" si="37"/>
        <v>69.83241663227936</v>
      </c>
      <c r="L71" s="1">
        <f t="shared" si="38"/>
        <v>69.99451643207627</v>
      </c>
    </row>
    <row r="72" spans="1:12" ht="12.75">
      <c r="A72" s="1">
        <f t="shared" si="29"/>
        <v>3.4999999999999956</v>
      </c>
      <c r="B72" s="1">
        <f t="shared" si="27"/>
        <v>16</v>
      </c>
      <c r="C72" s="1">
        <f t="shared" si="28"/>
        <v>0</v>
      </c>
      <c r="D72" s="1">
        <f t="shared" si="30"/>
        <v>0</v>
      </c>
      <c r="E72" s="1" t="e">
        <f t="shared" si="31"/>
        <v>#DIV/0!</v>
      </c>
      <c r="F72" s="1">
        <f t="shared" si="32"/>
        <v>0</v>
      </c>
      <c r="G72" s="1">
        <f t="shared" si="33"/>
        <v>15.96351459682702</v>
      </c>
      <c r="H72" s="1">
        <f t="shared" si="34"/>
        <v>159.55779004300996</v>
      </c>
      <c r="I72" s="1">
        <f t="shared" si="35"/>
        <v>168.95539392658912</v>
      </c>
      <c r="J72" s="1">
        <f t="shared" si="36"/>
        <v>4.76087364419049</v>
      </c>
      <c r="K72" s="1">
        <f t="shared" si="37"/>
        <v>70.3766079634548</v>
      </c>
      <c r="L72" s="1">
        <f t="shared" si="38"/>
        <v>70.53745718621956</v>
      </c>
    </row>
    <row r="73" spans="1:12" ht="12.75">
      <c r="A73" s="1">
        <f t="shared" si="29"/>
        <v>3.5499999999999954</v>
      </c>
      <c r="B73" s="1">
        <f t="shared" si="27"/>
        <v>16</v>
      </c>
      <c r="C73" s="1">
        <f t="shared" si="28"/>
        <v>0</v>
      </c>
      <c r="D73" s="1">
        <f t="shared" si="30"/>
        <v>0</v>
      </c>
      <c r="E73" s="1" t="e">
        <f t="shared" si="31"/>
        <v>#DIV/0!</v>
      </c>
      <c r="F73" s="1">
        <f t="shared" si="32"/>
        <v>0</v>
      </c>
      <c r="G73" s="1">
        <f t="shared" si="33"/>
        <v>15.964070512326376</v>
      </c>
      <c r="H73" s="1">
        <f t="shared" si="34"/>
        <v>159.90692077691727</v>
      </c>
      <c r="I73" s="1">
        <f t="shared" si="35"/>
        <v>174.15625396373454</v>
      </c>
      <c r="J73" s="1">
        <f t="shared" si="36"/>
        <v>4.76087364419049</v>
      </c>
      <c r="K73" s="1">
        <f t="shared" si="37"/>
        <v>70.92081868834663</v>
      </c>
      <c r="L73" s="1">
        <f t="shared" si="38"/>
        <v>71.08043641735244</v>
      </c>
    </row>
    <row r="74" spans="1:12" ht="12.75">
      <c r="A74" s="1">
        <f aca="true" t="shared" si="39" ref="A74:A85">A73+deltat</f>
        <v>3.599999999999995</v>
      </c>
      <c r="B74" s="1">
        <f t="shared" si="27"/>
        <v>16</v>
      </c>
      <c r="C74" s="1">
        <f t="shared" si="28"/>
        <v>0</v>
      </c>
      <c r="D74" s="1">
        <f aca="true" t="shared" si="40" ref="D74:D85">MAX(0,MIN(C74,g*(1-A74/k_unwind)))</f>
        <v>0</v>
      </c>
      <c r="E74" s="1" t="e">
        <f aca="true" t="shared" si="41" ref="E74:E85">(L74*L74*22*22/(15*15))/D74</f>
        <v>#DIV/0!</v>
      </c>
      <c r="F74" s="1">
        <f aca="true" t="shared" si="42" ref="F74:F85">MIN(0,B74*J74/L74-D74*K74/L74)</f>
        <v>0</v>
      </c>
      <c r="G74" s="1">
        <f aca="true" t="shared" si="43" ref="G74:G85">MAX(0,B74*K74/L74+D74*J74/L74)</f>
        <v>15.964613851068076</v>
      </c>
      <c r="H74" s="1">
        <f aca="true" t="shared" si="44" ref="H74:H85">H73+J74*deltat*22/15</f>
        <v>160.2560515108246</v>
      </c>
      <c r="I74" s="1">
        <f aca="true" t="shared" si="45" ref="I74:I85">I73+K74*deltat*22/15</f>
        <v>179.39702417716077</v>
      </c>
      <c r="J74" s="1">
        <f t="shared" si="36"/>
        <v>4.76087364419049</v>
      </c>
      <c r="K74" s="1">
        <f aca="true" t="shared" si="46" ref="K74:K85">K73+G73*deltat*15/22</f>
        <v>71.46504836490321</v>
      </c>
      <c r="L74" s="1">
        <f aca="true" t="shared" si="47" ref="L74:L85">SQRT(K74*K74+J74*J74)</f>
        <v>71.62345325138898</v>
      </c>
    </row>
    <row r="75" spans="1:12" ht="12.75">
      <c r="A75" s="1">
        <f t="shared" si="39"/>
        <v>3.649999999999995</v>
      </c>
      <c r="B75" s="1">
        <f t="shared" si="27"/>
        <v>16</v>
      </c>
      <c r="C75" s="1">
        <f t="shared" si="28"/>
        <v>0</v>
      </c>
      <c r="D75" s="1">
        <f t="shared" si="40"/>
        <v>0</v>
      </c>
      <c r="E75" s="1" t="e">
        <f t="shared" si="41"/>
        <v>#DIV/0!</v>
      </c>
      <c r="F75" s="1">
        <f t="shared" si="42"/>
        <v>0</v>
      </c>
      <c r="G75" s="1">
        <f t="shared" si="43"/>
        <v>15.965144988620715</v>
      </c>
      <c r="H75" s="1">
        <f t="shared" si="44"/>
        <v>160.6051822447319</v>
      </c>
      <c r="I75" s="1">
        <f t="shared" si="45"/>
        <v>184.67770592521467</v>
      </c>
      <c r="J75" s="1">
        <f t="shared" si="36"/>
        <v>4.76087364419049</v>
      </c>
      <c r="K75" s="1">
        <f t="shared" si="46"/>
        <v>72.00929656437144</v>
      </c>
      <c r="L75" s="1">
        <f t="shared" si="47"/>
        <v>72.16650684044187</v>
      </c>
    </row>
    <row r="76" spans="1:12" ht="12.75">
      <c r="A76" s="1">
        <f t="shared" si="39"/>
        <v>3.699999999999995</v>
      </c>
      <c r="B76" s="1">
        <f t="shared" si="27"/>
        <v>16</v>
      </c>
      <c r="C76" s="1">
        <f t="shared" si="28"/>
        <v>0</v>
      </c>
      <c r="D76" s="1">
        <f t="shared" si="40"/>
        <v>0</v>
      </c>
      <c r="E76" s="1" t="e">
        <f t="shared" si="41"/>
        <v>#DIV/0!</v>
      </c>
      <c r="F76" s="1">
        <f t="shared" si="42"/>
        <v>0</v>
      </c>
      <c r="G76" s="1">
        <f t="shared" si="43"/>
        <v>15.965664286673146</v>
      </c>
      <c r="H76" s="1">
        <f t="shared" si="44"/>
        <v>160.95431297863922</v>
      </c>
      <c r="I76" s="1">
        <f t="shared" si="45"/>
        <v>189.99830053574013</v>
      </c>
      <c r="J76" s="1">
        <f t="shared" si="36"/>
        <v>4.76087364419049</v>
      </c>
      <c r="K76" s="1">
        <f t="shared" si="46"/>
        <v>72.55356287080168</v>
      </c>
      <c r="L76" s="1">
        <f t="shared" si="47"/>
        <v>72.70959636185117</v>
      </c>
    </row>
    <row r="77" spans="1:12" ht="12.75">
      <c r="A77" s="1">
        <f t="shared" si="39"/>
        <v>3.7499999999999947</v>
      </c>
      <c r="B77" s="1">
        <f t="shared" si="27"/>
        <v>16</v>
      </c>
      <c r="C77" s="1">
        <f t="shared" si="28"/>
        <v>0</v>
      </c>
      <c r="D77" s="1">
        <f t="shared" si="40"/>
        <v>0</v>
      </c>
      <c r="E77" s="1" t="e">
        <f t="shared" si="41"/>
        <v>#DIV/0!</v>
      </c>
      <c r="F77" s="1">
        <f t="shared" si="42"/>
        <v>0</v>
      </c>
      <c r="G77" s="1">
        <f t="shared" si="43"/>
        <v>15.966172093643978</v>
      </c>
      <c r="H77" s="1">
        <f t="shared" si="44"/>
        <v>161.30344371254654</v>
      </c>
      <c r="I77" s="1">
        <f t="shared" si="45"/>
        <v>195.35880930698227</v>
      </c>
      <c r="J77" s="1">
        <f t="shared" si="36"/>
        <v>4.76087364419049</v>
      </c>
      <c r="K77" s="1">
        <f t="shared" si="46"/>
        <v>73.09784688057464</v>
      </c>
      <c r="L77" s="1">
        <f t="shared" si="47"/>
        <v>73.25272101725561</v>
      </c>
    </row>
    <row r="78" spans="1:12" ht="12.75">
      <c r="A78" s="1">
        <f t="shared" si="39"/>
        <v>3.7999999999999945</v>
      </c>
      <c r="B78" s="1">
        <f t="shared" si="27"/>
        <v>16</v>
      </c>
      <c r="C78" s="1">
        <f t="shared" si="28"/>
        <v>0</v>
      </c>
      <c r="D78" s="1">
        <f t="shared" si="40"/>
        <v>0</v>
      </c>
      <c r="E78" s="1" t="e">
        <f t="shared" si="41"/>
        <v>#DIV/0!</v>
      </c>
      <c r="F78" s="1">
        <f t="shared" si="42"/>
        <v>0</v>
      </c>
      <c r="G78" s="1">
        <f t="shared" si="43"/>
        <v>15.966668745260085</v>
      </c>
      <c r="H78" s="1">
        <f t="shared" si="44"/>
        <v>161.65257444645385</v>
      </c>
      <c r="I78" s="1">
        <f t="shared" si="45"/>
        <v>200.75923350845852</v>
      </c>
      <c r="J78" s="1">
        <f t="shared" si="36"/>
        <v>4.76087364419049</v>
      </c>
      <c r="K78" s="1">
        <f t="shared" si="46"/>
        <v>73.64214820194886</v>
      </c>
      <c r="L78" s="1">
        <f t="shared" si="47"/>
        <v>73.79588003170467</v>
      </c>
    </row>
    <row r="79" spans="1:12" ht="12.75">
      <c r="A79" s="1">
        <f t="shared" si="39"/>
        <v>3.8499999999999943</v>
      </c>
      <c r="B79" s="1">
        <f t="shared" si="27"/>
        <v>16</v>
      </c>
      <c r="C79" s="1">
        <f t="shared" si="28"/>
        <v>0</v>
      </c>
      <c r="D79" s="1">
        <f t="shared" si="40"/>
        <v>0</v>
      </c>
      <c r="E79" s="1" t="e">
        <f t="shared" si="41"/>
        <v>#DIV/0!</v>
      </c>
      <c r="F79" s="1">
        <f t="shared" si="42"/>
        <v>0</v>
      </c>
      <c r="G79" s="1">
        <f t="shared" si="43"/>
        <v>15.967154565106062</v>
      </c>
      <c r="H79" s="1">
        <f t="shared" si="44"/>
        <v>162.00170518036117</v>
      </c>
      <c r="I79" s="1">
        <f t="shared" si="45"/>
        <v>206.19957438179793</v>
      </c>
      <c r="J79" s="1">
        <f t="shared" si="36"/>
        <v>4.76087364419049</v>
      </c>
      <c r="K79" s="1">
        <f t="shared" si="46"/>
        <v>74.18646645462817</v>
      </c>
      <c r="L79" s="1">
        <f t="shared" si="47"/>
        <v>74.33907265280902</v>
      </c>
    </row>
    <row r="80" spans="1:12" ht="12.75">
      <c r="A80" s="1">
        <f t="shared" si="39"/>
        <v>3.899999999999994</v>
      </c>
      <c r="B80" s="1">
        <f t="shared" si="27"/>
        <v>16</v>
      </c>
      <c r="C80" s="1">
        <f t="shared" si="28"/>
        <v>0</v>
      </c>
      <c r="D80" s="1">
        <f t="shared" si="40"/>
        <v>0</v>
      </c>
      <c r="E80" s="1" t="e">
        <f t="shared" si="41"/>
        <v>#DIV/0!</v>
      </c>
      <c r="F80" s="1">
        <f t="shared" si="42"/>
        <v>0</v>
      </c>
      <c r="G80" s="1">
        <f t="shared" si="43"/>
        <v>15.967629865146108</v>
      </c>
      <c r="H80" s="1">
        <f t="shared" si="44"/>
        <v>162.3508359142685</v>
      </c>
      <c r="I80" s="1">
        <f t="shared" si="45"/>
        <v>211.6798331415501</v>
      </c>
      <c r="J80" s="1">
        <f t="shared" si="36"/>
        <v>4.76087364419049</v>
      </c>
      <c r="K80" s="1">
        <f t="shared" si="46"/>
        <v>74.7308012693477</v>
      </c>
      <c r="L80" s="1">
        <f t="shared" si="47"/>
        <v>74.88229814992785</v>
      </c>
    </row>
    <row r="81" spans="1:12" ht="12.75">
      <c r="A81" s="1">
        <f t="shared" si="39"/>
        <v>3.949999999999994</v>
      </c>
      <c r="B81" s="1">
        <f t="shared" si="27"/>
        <v>16</v>
      </c>
      <c r="C81" s="1">
        <f t="shared" si="28"/>
        <v>0</v>
      </c>
      <c r="D81" s="1">
        <f t="shared" si="40"/>
        <v>0</v>
      </c>
      <c r="E81" s="1" t="e">
        <f t="shared" si="41"/>
        <v>#DIV/0!</v>
      </c>
      <c r="F81" s="1">
        <f t="shared" si="42"/>
        <v>0</v>
      </c>
      <c r="G81" s="1">
        <f t="shared" si="43"/>
        <v>15.968094946220075</v>
      </c>
      <c r="H81" s="1">
        <f t="shared" si="44"/>
        <v>162.6999666481758</v>
      </c>
      <c r="I81" s="1">
        <f t="shared" si="45"/>
        <v>217.2000109759651</v>
      </c>
      <c r="J81" s="1">
        <f t="shared" si="36"/>
        <v>4.76087364419049</v>
      </c>
      <c r="K81" s="1">
        <f t="shared" si="46"/>
        <v>75.27515228747768</v>
      </c>
      <c r="L81" s="1">
        <f t="shared" si="47"/>
        <v>75.42555581339062</v>
      </c>
    </row>
    <row r="82" spans="1:12" ht="12.75">
      <c r="A82" s="1">
        <f t="shared" si="39"/>
        <v>3.999999999999994</v>
      </c>
      <c r="B82" s="1">
        <f t="shared" si="27"/>
        <v>16</v>
      </c>
      <c r="C82" s="1">
        <f t="shared" si="28"/>
        <v>0</v>
      </c>
      <c r="D82" s="1">
        <f t="shared" si="40"/>
        <v>0</v>
      </c>
      <c r="E82" s="1" t="e">
        <f t="shared" si="41"/>
        <v>#DIV/0!</v>
      </c>
      <c r="F82" s="1">
        <f t="shared" si="42"/>
        <v>0</v>
      </c>
      <c r="G82" s="1">
        <f t="shared" si="43"/>
        <v>15.968550098514958</v>
      </c>
      <c r="H82" s="1">
        <f t="shared" si="44"/>
        <v>163.04909738208312</v>
      </c>
      <c r="I82" s="1">
        <f t="shared" si="45"/>
        <v>222.7601090477457</v>
      </c>
      <c r="J82" s="1">
        <f t="shared" si="36"/>
        <v>4.76087364419049</v>
      </c>
      <c r="K82" s="1">
        <f t="shared" si="46"/>
        <v>75.81951916064428</v>
      </c>
      <c r="L82" s="1">
        <f t="shared" si="47"/>
        <v>75.96884495375227</v>
      </c>
    </row>
    <row r="83" spans="1:12" ht="12.75">
      <c r="A83" s="1">
        <f t="shared" si="39"/>
        <v>4.049999999999994</v>
      </c>
      <c r="B83" s="1">
        <f t="shared" si="27"/>
        <v>16</v>
      </c>
      <c r="C83" s="1">
        <f t="shared" si="28"/>
        <v>0</v>
      </c>
      <c r="D83" s="1">
        <f t="shared" si="40"/>
        <v>0</v>
      </c>
      <c r="E83" s="1" t="e">
        <f t="shared" si="41"/>
        <v>#DIV/0!</v>
      </c>
      <c r="F83" s="1">
        <f t="shared" si="42"/>
        <v>0</v>
      </c>
      <c r="G83" s="1">
        <f t="shared" si="43"/>
        <v>15.968995602013376</v>
      </c>
      <c r="H83" s="1">
        <f t="shared" si="44"/>
        <v>163.39822811599043</v>
      </c>
      <c r="I83" s="1">
        <f t="shared" si="45"/>
        <v>228.36012849477257</v>
      </c>
      <c r="J83" s="1">
        <f t="shared" si="36"/>
        <v>4.76087364419049</v>
      </c>
      <c r="K83" s="1">
        <f t="shared" si="46"/>
        <v>76.36390155036638</v>
      </c>
      <c r="L83" s="1">
        <f t="shared" si="47"/>
        <v>76.51216490107959</v>
      </c>
    </row>
    <row r="84" spans="1:12" ht="12.75">
      <c r="A84" s="1">
        <f t="shared" si="39"/>
        <v>4.099999999999993</v>
      </c>
      <c r="B84" s="1">
        <f t="shared" si="27"/>
        <v>16</v>
      </c>
      <c r="C84" s="1">
        <f t="shared" si="28"/>
        <v>0</v>
      </c>
      <c r="D84" s="1">
        <f t="shared" si="40"/>
        <v>0</v>
      </c>
      <c r="E84" s="1" t="e">
        <f t="shared" si="41"/>
        <v>#DIV/0!</v>
      </c>
      <c r="F84" s="1">
        <f t="shared" si="42"/>
        <v>0</v>
      </c>
      <c r="G84" s="1">
        <f t="shared" si="43"/>
        <v>15.969431726920151</v>
      </c>
      <c r="H84" s="1">
        <f t="shared" si="44"/>
        <v>163.74735884989775</v>
      </c>
      <c r="I84" s="1">
        <f t="shared" si="45"/>
        <v>234.00007043080447</v>
      </c>
      <c r="J84" s="1">
        <f t="shared" si="36"/>
        <v>4.76087364419049</v>
      </c>
      <c r="K84" s="1">
        <f t="shared" si="46"/>
        <v>76.90829912770775</v>
      </c>
      <c r="L84" s="1">
        <f t="shared" si="47"/>
        <v>77.05551500426768</v>
      </c>
    </row>
    <row r="85" spans="1:12" ht="12.75">
      <c r="A85" s="1">
        <f t="shared" si="39"/>
        <v>4.149999999999993</v>
      </c>
      <c r="B85" s="1">
        <f t="shared" si="27"/>
        <v>16</v>
      </c>
      <c r="C85" s="1">
        <f t="shared" si="28"/>
        <v>0</v>
      </c>
      <c r="D85" s="1">
        <f t="shared" si="40"/>
        <v>0</v>
      </c>
      <c r="E85" s="1" t="e">
        <f t="shared" si="41"/>
        <v>#DIV/0!</v>
      </c>
      <c r="F85" s="1">
        <f t="shared" si="42"/>
        <v>0</v>
      </c>
      <c r="G85" s="1">
        <f t="shared" si="43"/>
        <v>15.969858734068346</v>
      </c>
      <c r="H85" s="1">
        <f t="shared" si="44"/>
        <v>164.09648958380507</v>
      </c>
      <c r="I85" s="1">
        <f t="shared" si="45"/>
        <v>239.67993594615368</v>
      </c>
      <c r="J85" s="1">
        <f t="shared" si="36"/>
        <v>4.76087364419049</v>
      </c>
      <c r="K85" s="1">
        <f t="shared" si="46"/>
        <v>77.45271157294367</v>
      </c>
      <c r="L85" s="1">
        <f t="shared" si="47"/>
        <v>77.59889463038472</v>
      </c>
    </row>
    <row r="86" spans="1:12" ht="12.75">
      <c r="A86" s="1">
        <f aca="true" t="shared" si="48" ref="A86:A149">A85+deltat</f>
        <v>4.199999999999993</v>
      </c>
      <c r="B86" s="1">
        <f t="shared" si="27"/>
        <v>16</v>
      </c>
      <c r="C86" s="1">
        <f t="shared" si="28"/>
        <v>0</v>
      </c>
      <c r="D86" s="1">
        <f aca="true" t="shared" si="49" ref="D86:D149">MAX(0,MIN(C86,g*(1-A86/k_unwind)))</f>
        <v>0</v>
      </c>
      <c r="E86" s="1" t="e">
        <f aca="true" t="shared" si="50" ref="E86:E149">(L86*L86*22*22/(15*15))/D86</f>
        <v>#DIV/0!</v>
      </c>
      <c r="F86" s="1">
        <f aca="true" t="shared" si="51" ref="F86:F149">MIN(0,B86*J86/L86-D86*K86/L86)</f>
        <v>0</v>
      </c>
      <c r="G86" s="1">
        <f aca="true" t="shared" si="52" ref="G86:G149">MAX(0,B86*K86/L86+D86*J86/L86)</f>
        <v>15.970276875305744</v>
      </c>
      <c r="H86" s="1">
        <f aca="true" t="shared" si="53" ref="H86:H149">H85+J86*deltat*22/15</f>
        <v>164.44562031771238</v>
      </c>
      <c r="I86" s="1">
        <f aca="true" t="shared" si="54" ref="I86:I149">I85+K86*deltat*22/15</f>
        <v>245.39972610833806</v>
      </c>
      <c r="J86" s="1">
        <f aca="true" t="shared" si="55" ref="J86:J149">MAX(0,J85+F85*deltat*15/22)</f>
        <v>4.76087364419049</v>
      </c>
      <c r="K86" s="1">
        <f aca="true" t="shared" si="56" ref="K86:K149">K85+G85*deltat*15/22</f>
        <v>77.99713857524145</v>
      </c>
      <c r="L86" s="1">
        <f aca="true" t="shared" si="57" ref="L86:L149">SQRT(K86*K86+J86*J86)</f>
        <v>78.14230316404402</v>
      </c>
    </row>
    <row r="87" spans="1:12" ht="12.75">
      <c r="A87" s="1">
        <f t="shared" si="48"/>
        <v>4.249999999999993</v>
      </c>
      <c r="B87" s="1">
        <f t="shared" si="27"/>
        <v>16</v>
      </c>
      <c r="C87" s="1">
        <f t="shared" si="28"/>
        <v>0</v>
      </c>
      <c r="D87" s="1">
        <f t="shared" si="49"/>
        <v>0</v>
      </c>
      <c r="E87" s="1" t="e">
        <f t="shared" si="50"/>
        <v>#DIV/0!</v>
      </c>
      <c r="F87" s="1">
        <f t="shared" si="51"/>
        <v>0</v>
      </c>
      <c r="G87" s="1">
        <f t="shared" si="52"/>
        <v>15.970686393862945</v>
      </c>
      <c r="H87" s="1">
        <f t="shared" si="53"/>
        <v>164.7947510516197</v>
      </c>
      <c r="I87" s="1">
        <f t="shared" si="54"/>
        <v>251.1594419627107</v>
      </c>
      <c r="J87" s="1">
        <f t="shared" si="55"/>
        <v>4.76087364419049</v>
      </c>
      <c r="K87" s="1">
        <f t="shared" si="56"/>
        <v>78.54157983235415</v>
      </c>
      <c r="L87" s="1">
        <f t="shared" si="57"/>
        <v>78.68574000680178</v>
      </c>
    </row>
    <row r="88" spans="1:12" ht="12.75">
      <c r="A88" s="1">
        <f t="shared" si="48"/>
        <v>4.299999999999993</v>
      </c>
      <c r="B88" s="1">
        <f t="shared" si="27"/>
        <v>16</v>
      </c>
      <c r="C88" s="1">
        <f t="shared" si="28"/>
        <v>0</v>
      </c>
      <c r="D88" s="1">
        <f t="shared" si="49"/>
        <v>0</v>
      </c>
      <c r="E88" s="1" t="e">
        <f t="shared" si="50"/>
        <v>#DIV/0!</v>
      </c>
      <c r="F88" s="1">
        <f t="shared" si="51"/>
        <v>0</v>
      </c>
      <c r="G88" s="1">
        <f t="shared" si="52"/>
        <v>15.97108752470401</v>
      </c>
      <c r="H88" s="1">
        <f t="shared" si="53"/>
        <v>165.14388178552701</v>
      </c>
      <c r="I88" s="1">
        <f t="shared" si="54"/>
        <v>256.959084533068</v>
      </c>
      <c r="J88" s="1">
        <f t="shared" si="55"/>
        <v>4.76087364419049</v>
      </c>
      <c r="K88" s="1">
        <f t="shared" si="56"/>
        <v>79.08603505032674</v>
      </c>
      <c r="L88" s="1">
        <f t="shared" si="57"/>
        <v>79.22920457657932</v>
      </c>
    </row>
    <row r="89" spans="1:12" ht="12.75">
      <c r="A89" s="1">
        <f t="shared" si="48"/>
        <v>4.3499999999999925</v>
      </c>
      <c r="B89" s="1">
        <f t="shared" si="27"/>
        <v>16</v>
      </c>
      <c r="C89" s="1">
        <f t="shared" si="28"/>
        <v>0</v>
      </c>
      <c r="D89" s="1">
        <f t="shared" si="49"/>
        <v>0</v>
      </c>
      <c r="E89" s="1" t="e">
        <f t="shared" si="50"/>
        <v>#DIV/0!</v>
      </c>
      <c r="F89" s="1">
        <f t="shared" si="51"/>
        <v>0</v>
      </c>
      <c r="G89" s="1">
        <f t="shared" si="52"/>
        <v>15.971480494860623</v>
      </c>
      <c r="H89" s="1">
        <f t="shared" si="53"/>
        <v>165.49301251943433</v>
      </c>
      <c r="I89" s="1">
        <f t="shared" si="54"/>
        <v>262.79865482223704</v>
      </c>
      <c r="J89" s="1">
        <f t="shared" si="55"/>
        <v>4.76087364419049</v>
      </c>
      <c r="K89" s="1">
        <f t="shared" si="56"/>
        <v>79.63050394321438</v>
      </c>
      <c r="L89" s="1">
        <f t="shared" si="57"/>
        <v>79.77269630710892</v>
      </c>
    </row>
    <row r="90" spans="1:12" ht="12.75">
      <c r="A90" s="1">
        <f t="shared" si="48"/>
        <v>4.399999999999992</v>
      </c>
      <c r="B90" s="1">
        <f t="shared" si="27"/>
        <v>16</v>
      </c>
      <c r="C90" s="1">
        <f t="shared" si="28"/>
        <v>0</v>
      </c>
      <c r="D90" s="1">
        <f t="shared" si="49"/>
        <v>0</v>
      </c>
      <c r="E90" s="1" t="e">
        <f t="shared" si="50"/>
        <v>#DIV/0!</v>
      </c>
      <c r="F90" s="1">
        <f t="shared" si="51"/>
        <v>0</v>
      </c>
      <c r="G90" s="1">
        <f t="shared" si="52"/>
        <v>15.971865523750601</v>
      </c>
      <c r="H90" s="1">
        <f t="shared" si="53"/>
        <v>165.84214325334165</v>
      </c>
      <c r="I90" s="1">
        <f t="shared" si="54"/>
        <v>268.67815381264325</v>
      </c>
      <c r="J90" s="1">
        <f t="shared" si="55"/>
        <v>4.76087364419049</v>
      </c>
      <c r="K90" s="1">
        <f t="shared" si="56"/>
        <v>80.1749862328119</v>
      </c>
      <c r="L90" s="1">
        <f t="shared" si="57"/>
        <v>80.31621464740184</v>
      </c>
    </row>
    <row r="91" spans="1:12" ht="12.75">
      <c r="A91" s="1">
        <f t="shared" si="48"/>
        <v>4.449999999999992</v>
      </c>
      <c r="B91" s="1">
        <f t="shared" si="27"/>
        <v>16</v>
      </c>
      <c r="C91" s="1">
        <f t="shared" si="28"/>
        <v>0</v>
      </c>
      <c r="D91" s="1">
        <f t="shared" si="49"/>
        <v>0</v>
      </c>
      <c r="E91" s="1" t="e">
        <f t="shared" si="50"/>
        <v>#DIV/0!</v>
      </c>
      <c r="F91" s="1">
        <f t="shared" si="51"/>
        <v>0</v>
      </c>
      <c r="G91" s="1">
        <f t="shared" si="52"/>
        <v>15.972242823481647</v>
      </c>
      <c r="H91" s="1">
        <f t="shared" si="53"/>
        <v>166.19127398724896</v>
      </c>
      <c r="I91" s="1">
        <f t="shared" si="54"/>
        <v>274.59758246685885</v>
      </c>
      <c r="J91" s="1">
        <f t="shared" si="55"/>
        <v>4.76087364419049</v>
      </c>
      <c r="K91" s="1">
        <f t="shared" si="56"/>
        <v>80.71948164839431</v>
      </c>
      <c r="L91" s="1">
        <f t="shared" si="57"/>
        <v>80.8597590612377</v>
      </c>
    </row>
    <row r="92" spans="1:12" ht="12.75">
      <c r="A92" s="1">
        <f t="shared" si="48"/>
        <v>4.499999999999992</v>
      </c>
      <c r="B92" s="1">
        <f t="shared" si="27"/>
        <v>16</v>
      </c>
      <c r="C92" s="1">
        <f t="shared" si="28"/>
        <v>0</v>
      </c>
      <c r="D92" s="1">
        <f t="shared" si="49"/>
        <v>0</v>
      </c>
      <c r="E92" s="1" t="e">
        <f t="shared" si="50"/>
        <v>#DIV/0!</v>
      </c>
      <c r="F92" s="1">
        <f t="shared" si="51"/>
        <v>0</v>
      </c>
      <c r="G92" s="1">
        <f t="shared" si="52"/>
        <v>15.972612599141064</v>
      </c>
      <c r="H92" s="1">
        <f t="shared" si="53"/>
        <v>166.54040472115628</v>
      </c>
      <c r="I92" s="1">
        <f t="shared" si="54"/>
        <v>280.55694172813315</v>
      </c>
      <c r="J92" s="1">
        <f t="shared" si="55"/>
        <v>4.76087364419049</v>
      </c>
      <c r="K92" s="1">
        <f t="shared" si="56"/>
        <v>81.26398992646754</v>
      </c>
      <c r="L92" s="1">
        <f t="shared" si="57"/>
        <v>81.40332902667413</v>
      </c>
    </row>
    <row r="93" spans="1:12" ht="12.75">
      <c r="A93" s="1">
        <f t="shared" si="48"/>
        <v>4.549999999999992</v>
      </c>
      <c r="B93" s="1">
        <f t="shared" si="27"/>
        <v>16</v>
      </c>
      <c r="C93" s="1">
        <f t="shared" si="28"/>
        <v>0</v>
      </c>
      <c r="D93" s="1">
        <f t="shared" si="49"/>
        <v>0</v>
      </c>
      <c r="E93" s="1" t="e">
        <f t="shared" si="50"/>
        <v>#DIV/0!</v>
      </c>
      <c r="F93" s="1">
        <f t="shared" si="51"/>
        <v>0</v>
      </c>
      <c r="G93" s="1">
        <f t="shared" si="52"/>
        <v>15.972975049072213</v>
      </c>
      <c r="H93" s="1">
        <f t="shared" si="53"/>
        <v>166.8895354550636</v>
      </c>
      <c r="I93" s="1">
        <f t="shared" si="54"/>
        <v>286.55623252090527</v>
      </c>
      <c r="J93" s="1">
        <f t="shared" si="55"/>
        <v>4.76087364419049</v>
      </c>
      <c r="K93" s="1">
        <f t="shared" si="56"/>
        <v>81.80851081052917</v>
      </c>
      <c r="L93" s="1">
        <f t="shared" si="57"/>
        <v>81.9469240355757</v>
      </c>
    </row>
    <row r="94" spans="1:12" ht="12.75">
      <c r="A94" s="1">
        <f t="shared" si="48"/>
        <v>4.599999999999992</v>
      </c>
      <c r="B94" s="1">
        <f t="shared" si="27"/>
        <v>16</v>
      </c>
      <c r="C94" s="1">
        <f t="shared" si="28"/>
        <v>0</v>
      </c>
      <c r="D94" s="1">
        <f t="shared" si="49"/>
        <v>0</v>
      </c>
      <c r="E94" s="1" t="e">
        <f t="shared" si="50"/>
        <v>#DIV/0!</v>
      </c>
      <c r="F94" s="1">
        <f t="shared" si="51"/>
        <v>0</v>
      </c>
      <c r="G94" s="1">
        <f t="shared" si="52"/>
        <v>15.973330365138338</v>
      </c>
      <c r="H94" s="1">
        <f t="shared" si="53"/>
        <v>167.2386661889709</v>
      </c>
      <c r="I94" s="1">
        <f t="shared" si="54"/>
        <v>292.5954557513001</v>
      </c>
      <c r="J94" s="1">
        <f t="shared" si="55"/>
        <v>4.76087364419049</v>
      </c>
      <c r="K94" s="1">
        <f t="shared" si="56"/>
        <v>82.35304405083845</v>
      </c>
      <c r="L94" s="1">
        <f t="shared" si="57"/>
        <v>82.49054359316155</v>
      </c>
    </row>
    <row r="95" spans="1:12" ht="12.75">
      <c r="A95" s="1">
        <f t="shared" si="48"/>
        <v>4.6499999999999915</v>
      </c>
      <c r="B95" s="1">
        <f t="shared" si="27"/>
        <v>16</v>
      </c>
      <c r="C95" s="1">
        <f t="shared" si="28"/>
        <v>0</v>
      </c>
      <c r="D95" s="1">
        <f t="shared" si="49"/>
        <v>0</v>
      </c>
      <c r="E95" s="1" t="e">
        <f t="shared" si="50"/>
        <v>#DIV/0!</v>
      </c>
      <c r="F95" s="1">
        <f t="shared" si="51"/>
        <v>0</v>
      </c>
      <c r="G95" s="1">
        <f t="shared" si="52"/>
        <v>15.973678732974504</v>
      </c>
      <c r="H95" s="1">
        <f t="shared" si="53"/>
        <v>167.58779692287823</v>
      </c>
      <c r="I95" s="1">
        <f t="shared" si="54"/>
        <v>298.6746123076078</v>
      </c>
      <c r="J95" s="1">
        <f t="shared" si="55"/>
        <v>4.76087364419049</v>
      </c>
      <c r="K95" s="1">
        <f t="shared" si="56"/>
        <v>82.89758940419544</v>
      </c>
      <c r="L95" s="1">
        <f t="shared" si="57"/>
        <v>83.03418721757036</v>
      </c>
    </row>
    <row r="96" spans="1:12" ht="12.75">
      <c r="A96" s="1">
        <f t="shared" si="48"/>
        <v>4.699999999999991</v>
      </c>
      <c r="B96" s="1">
        <f t="shared" si="27"/>
        <v>16</v>
      </c>
      <c r="C96" s="1">
        <f t="shared" si="28"/>
        <v>0</v>
      </c>
      <c r="D96" s="1">
        <f t="shared" si="49"/>
        <v>0</v>
      </c>
      <c r="E96" s="1" t="e">
        <f t="shared" si="50"/>
        <v>#DIV/0!</v>
      </c>
      <c r="F96" s="1">
        <f t="shared" si="51"/>
        <v>0</v>
      </c>
      <c r="G96" s="1">
        <f t="shared" si="52"/>
        <v>15.974020332228159</v>
      </c>
      <c r="H96" s="1">
        <f t="shared" si="53"/>
        <v>167.93692765678554</v>
      </c>
      <c r="I96" s="1">
        <f t="shared" si="54"/>
        <v>304.7937030607479</v>
      </c>
      <c r="J96" s="1">
        <f t="shared" si="55"/>
        <v>4.76087364419049</v>
      </c>
      <c r="K96" s="1">
        <f t="shared" si="56"/>
        <v>83.44214663372867</v>
      </c>
      <c r="L96" s="1">
        <f t="shared" si="57"/>
        <v>83.57785443944242</v>
      </c>
    </row>
    <row r="97" spans="1:12" ht="12.75">
      <c r="A97" s="1">
        <f t="shared" si="48"/>
        <v>4.749999999999991</v>
      </c>
      <c r="B97" s="1">
        <f t="shared" si="27"/>
        <v>16</v>
      </c>
      <c r="C97" s="1">
        <f t="shared" si="28"/>
        <v>0</v>
      </c>
      <c r="D97" s="1">
        <f t="shared" si="49"/>
        <v>0</v>
      </c>
      <c r="E97" s="1" t="e">
        <f t="shared" si="50"/>
        <v>#DIV/0!</v>
      </c>
      <c r="F97" s="1">
        <f t="shared" si="51"/>
        <v>0</v>
      </c>
      <c r="G97" s="1">
        <f t="shared" si="52"/>
        <v>15.974355336788966</v>
      </c>
      <c r="H97" s="1">
        <f t="shared" si="53"/>
        <v>168.28605839069286</v>
      </c>
      <c r="I97" s="1">
        <f t="shared" si="54"/>
        <v>310.95272886471855</v>
      </c>
      <c r="J97" s="1">
        <f t="shared" si="55"/>
        <v>4.76087364419049</v>
      </c>
      <c r="K97" s="1">
        <f t="shared" si="56"/>
        <v>83.98671550869099</v>
      </c>
      <c r="L97" s="1">
        <f t="shared" si="57"/>
        <v>84.12154480151767</v>
      </c>
    </row>
    <row r="98" spans="1:12" ht="12.75">
      <c r="A98" s="1">
        <f t="shared" si="48"/>
        <v>4.799999999999991</v>
      </c>
      <c r="B98" s="1">
        <f t="shared" si="27"/>
        <v>16</v>
      </c>
      <c r="C98" s="1">
        <f t="shared" si="28"/>
        <v>0</v>
      </c>
      <c r="D98" s="1">
        <f t="shared" si="49"/>
        <v>0</v>
      </c>
      <c r="E98" s="1" t="e">
        <f t="shared" si="50"/>
        <v>#DIV/0!</v>
      </c>
      <c r="F98" s="1">
        <f t="shared" si="51"/>
        <v>0</v>
      </c>
      <c r="G98" s="1">
        <f t="shared" si="52"/>
        <v>15.974683915008429</v>
      </c>
      <c r="H98" s="1">
        <f t="shared" si="53"/>
        <v>168.63518912460017</v>
      </c>
      <c r="I98" s="1">
        <f t="shared" si="54"/>
        <v>317.1516905570312</v>
      </c>
      <c r="J98" s="1">
        <f t="shared" si="55"/>
        <v>4.76087364419049</v>
      </c>
      <c r="K98" s="1">
        <f t="shared" si="56"/>
        <v>84.53129580426334</v>
      </c>
      <c r="L98" s="1">
        <f t="shared" si="57"/>
        <v>84.66525785824913</v>
      </c>
    </row>
    <row r="99" spans="1:12" ht="12.75">
      <c r="A99" s="1">
        <f t="shared" si="48"/>
        <v>4.849999999999991</v>
      </c>
      <c r="B99" s="1">
        <f t="shared" si="27"/>
        <v>16</v>
      </c>
      <c r="C99" s="1">
        <f t="shared" si="28"/>
        <v>0</v>
      </c>
      <c r="D99" s="1">
        <f t="shared" si="49"/>
        <v>0</v>
      </c>
      <c r="E99" s="1" t="e">
        <f t="shared" si="50"/>
        <v>#DIV/0!</v>
      </c>
      <c r="F99" s="1">
        <f t="shared" si="51"/>
        <v>0</v>
      </c>
      <c r="G99" s="1">
        <f t="shared" si="52"/>
        <v>15.975006229909814</v>
      </c>
      <c r="H99" s="1">
        <f t="shared" si="53"/>
        <v>168.9843198585075</v>
      </c>
      <c r="I99" s="1">
        <f t="shared" si="54"/>
        <v>323.3905889591314</v>
      </c>
      <c r="J99" s="1">
        <f t="shared" si="55"/>
        <v>4.76087364419049</v>
      </c>
      <c r="K99" s="1">
        <f t="shared" si="56"/>
        <v>85.0758873013659</v>
      </c>
      <c r="L99" s="1">
        <f t="shared" si="57"/>
        <v>85.20899317543108</v>
      </c>
    </row>
    <row r="100" spans="1:12" ht="12.75">
      <c r="A100" s="1">
        <f t="shared" si="48"/>
        <v>4.899999999999991</v>
      </c>
      <c r="B100" s="1">
        <f t="shared" si="27"/>
        <v>16</v>
      </c>
      <c r="C100" s="1">
        <f t="shared" si="28"/>
        <v>0</v>
      </c>
      <c r="D100" s="1">
        <f t="shared" si="49"/>
        <v>0</v>
      </c>
      <c r="E100" s="1" t="e">
        <f t="shared" si="50"/>
        <v>#DIV/0!</v>
      </c>
      <c r="F100" s="1">
        <f t="shared" si="51"/>
        <v>0</v>
      </c>
      <c r="G100" s="1">
        <f t="shared" si="52"/>
        <v>15.975322439388883</v>
      </c>
      <c r="H100" s="1">
        <f t="shared" si="53"/>
        <v>169.3334505924148</v>
      </c>
      <c r="I100" s="1">
        <f t="shared" si="54"/>
        <v>329.6694248768063</v>
      </c>
      <c r="J100" s="1">
        <f t="shared" si="55"/>
        <v>4.76087364419049</v>
      </c>
      <c r="K100" s="1">
        <f t="shared" si="56"/>
        <v>85.62048978647645</v>
      </c>
      <c r="L100" s="1">
        <f t="shared" si="57"/>
        <v>85.75275032984112</v>
      </c>
    </row>
    <row r="101" spans="1:12" ht="12.75">
      <c r="A101" s="1">
        <f t="shared" si="48"/>
        <v>4.94999999999999</v>
      </c>
      <c r="B101" s="1">
        <f t="shared" si="27"/>
        <v>16</v>
      </c>
      <c r="C101" s="1">
        <f t="shared" si="28"/>
        <v>0</v>
      </c>
      <c r="D101" s="1">
        <f t="shared" si="49"/>
        <v>0</v>
      </c>
      <c r="E101" s="1" t="e">
        <f t="shared" si="50"/>
        <v>#DIV/0!</v>
      </c>
      <c r="F101" s="1">
        <f t="shared" si="51"/>
        <v>0</v>
      </c>
      <c r="G101" s="1">
        <f t="shared" si="52"/>
        <v>15.975632696405839</v>
      </c>
      <c r="H101" s="1">
        <f t="shared" si="53"/>
        <v>169.68258132632212</v>
      </c>
      <c r="I101" s="1">
        <f t="shared" si="54"/>
        <v>335.9881991005797</v>
      </c>
      <c r="J101" s="1">
        <f t="shared" si="55"/>
        <v>4.76087364419049</v>
      </c>
      <c r="K101" s="1">
        <f t="shared" si="56"/>
        <v>86.16510305145562</v>
      </c>
      <c r="L101" s="1">
        <f t="shared" si="57"/>
        <v>86.29652890889595</v>
      </c>
    </row>
    <row r="102" spans="1:12" ht="12.75">
      <c r="A102" s="1">
        <f t="shared" si="48"/>
        <v>4.99999999999999</v>
      </c>
      <c r="B102" s="1">
        <f t="shared" si="27"/>
        <v>16</v>
      </c>
      <c r="C102" s="1">
        <f t="shared" si="28"/>
        <v>0</v>
      </c>
      <c r="D102" s="1">
        <f t="shared" si="49"/>
        <v>0</v>
      </c>
      <c r="E102" s="1" t="e">
        <f t="shared" si="50"/>
        <v>#DIV/0!</v>
      </c>
      <c r="F102" s="1">
        <f t="shared" si="51"/>
        <v>0</v>
      </c>
      <c r="G102" s="1">
        <f t="shared" si="52"/>
        <v>15.975937149169008</v>
      </c>
      <c r="H102" s="1">
        <f t="shared" si="53"/>
        <v>170.03171206022944</v>
      </c>
      <c r="I102" s="1">
        <f t="shared" si="54"/>
        <v>342.34691240609413</v>
      </c>
      <c r="J102" s="1">
        <f t="shared" si="55"/>
        <v>4.76087364419049</v>
      </c>
      <c r="K102" s="1">
        <f t="shared" si="56"/>
        <v>86.70972689337854</v>
      </c>
      <c r="L102" s="1">
        <f t="shared" si="57"/>
        <v>86.84032851031968</v>
      </c>
    </row>
    <row r="103" spans="1:12" ht="12.75">
      <c r="A103" s="1">
        <f t="shared" si="48"/>
        <v>5.04999999999999</v>
      </c>
      <c r="B103" s="1">
        <f t="shared" si="27"/>
        <v>16</v>
      </c>
      <c r="C103" s="1">
        <f t="shared" si="28"/>
        <v>0</v>
      </c>
      <c r="D103" s="1">
        <f t="shared" si="49"/>
        <v>0</v>
      </c>
      <c r="E103" s="1" t="e">
        <f t="shared" si="50"/>
        <v>#DIV/0!</v>
      </c>
      <c r="F103" s="1">
        <f t="shared" si="51"/>
        <v>0</v>
      </c>
      <c r="G103" s="1">
        <f t="shared" si="52"/>
        <v>15.976235941310552</v>
      </c>
      <c r="H103" s="1">
        <f t="shared" si="53"/>
        <v>170.38084279413675</v>
      </c>
      <c r="I103" s="1">
        <f t="shared" si="54"/>
        <v>348.74556555448146</v>
      </c>
      <c r="J103" s="1">
        <f t="shared" si="55"/>
        <v>4.76087364419049</v>
      </c>
      <c r="K103" s="1">
        <f t="shared" si="56"/>
        <v>87.25436111437294</v>
      </c>
      <c r="L103" s="1">
        <f t="shared" si="57"/>
        <v>87.3841487418247</v>
      </c>
    </row>
    <row r="104" spans="1:12" ht="12.75">
      <c r="A104" s="1">
        <f t="shared" si="48"/>
        <v>5.09999999999999</v>
      </c>
      <c r="B104" s="1">
        <f t="shared" si="27"/>
        <v>16</v>
      </c>
      <c r="C104" s="1">
        <f t="shared" si="28"/>
        <v>0</v>
      </c>
      <c r="D104" s="1">
        <f t="shared" si="49"/>
        <v>0</v>
      </c>
      <c r="E104" s="1" t="e">
        <f t="shared" si="50"/>
        <v>#DIV/0!</v>
      </c>
      <c r="F104" s="1">
        <f t="shared" si="51"/>
        <v>0</v>
      </c>
      <c r="G104" s="1">
        <f t="shared" si="52"/>
        <v>15.97652921205471</v>
      </c>
      <c r="H104" s="1">
        <f t="shared" si="53"/>
        <v>170.72997352804407</v>
      </c>
      <c r="I104" s="1">
        <f t="shared" si="54"/>
        <v>355.1841592927221</v>
      </c>
      <c r="J104" s="1">
        <f t="shared" si="55"/>
        <v>4.76087364419049</v>
      </c>
      <c r="K104" s="1">
        <f t="shared" si="56"/>
        <v>87.79900552146307</v>
      </c>
      <c r="L104" s="1">
        <f t="shared" si="57"/>
        <v>87.92798922080415</v>
      </c>
    </row>
    <row r="105" spans="1:12" ht="12.75">
      <c r="A105" s="1">
        <f t="shared" si="48"/>
        <v>5.14999999999999</v>
      </c>
      <c r="B105" s="1">
        <f t="shared" si="27"/>
        <v>16</v>
      </c>
      <c r="C105" s="1">
        <f t="shared" si="28"/>
        <v>0</v>
      </c>
      <c r="D105" s="1">
        <f t="shared" si="49"/>
        <v>0</v>
      </c>
      <c r="E105" s="1" t="e">
        <f t="shared" si="50"/>
        <v>#DIV/0!</v>
      </c>
      <c r="F105" s="1">
        <f t="shared" si="51"/>
        <v>0</v>
      </c>
      <c r="G105" s="1">
        <f t="shared" si="52"/>
        <v>15.976817096378852</v>
      </c>
      <c r="H105" s="1">
        <f t="shared" si="53"/>
        <v>171.0791042619514</v>
      </c>
      <c r="I105" s="1">
        <f t="shared" si="54"/>
        <v>361.66269435399283</v>
      </c>
      <c r="J105" s="1">
        <f t="shared" si="55"/>
        <v>4.76087364419049</v>
      </c>
      <c r="K105" s="1">
        <f t="shared" si="56"/>
        <v>88.34365992641948</v>
      </c>
      <c r="L105" s="1">
        <f t="shared" si="57"/>
        <v>88.4718495740357</v>
      </c>
    </row>
    <row r="106" spans="1:12" ht="12.75">
      <c r="A106" s="1">
        <f t="shared" si="48"/>
        <v>5.1999999999999895</v>
      </c>
      <c r="B106" s="1">
        <f t="shared" si="27"/>
        <v>16</v>
      </c>
      <c r="C106" s="1">
        <f t="shared" si="28"/>
        <v>0</v>
      </c>
      <c r="D106" s="1">
        <f t="shared" si="49"/>
        <v>0</v>
      </c>
      <c r="E106" s="1" t="e">
        <f t="shared" si="50"/>
        <v>#DIV/0!</v>
      </c>
      <c r="F106" s="1">
        <f t="shared" si="51"/>
        <v>0</v>
      </c>
      <c r="G106" s="1">
        <f t="shared" si="52"/>
        <v>15.977099725167719</v>
      </c>
      <c r="H106" s="1">
        <f t="shared" si="53"/>
        <v>171.4282349958587</v>
      </c>
      <c r="I106" s="1">
        <f t="shared" si="54"/>
        <v>368.18117145800454</v>
      </c>
      <c r="J106" s="1">
        <f t="shared" si="55"/>
        <v>4.76087364419049</v>
      </c>
      <c r="K106" s="1">
        <f t="shared" si="56"/>
        <v>88.8883241456142</v>
      </c>
      <c r="L106" s="1">
        <f t="shared" si="57"/>
        <v>89.01572943739623</v>
      </c>
    </row>
    <row r="107" spans="1:12" ht="12.75">
      <c r="A107" s="1">
        <f t="shared" si="48"/>
        <v>5.249999999999989</v>
      </c>
      <c r="B107" s="1">
        <f t="shared" si="27"/>
        <v>16</v>
      </c>
      <c r="C107" s="1">
        <f t="shared" si="28"/>
        <v>0</v>
      </c>
      <c r="D107" s="1">
        <f t="shared" si="49"/>
        <v>0</v>
      </c>
      <c r="E107" s="1" t="e">
        <f t="shared" si="50"/>
        <v>#DIV/0!</v>
      </c>
      <c r="F107" s="1">
        <f t="shared" si="51"/>
        <v>0</v>
      </c>
      <c r="G107" s="1">
        <f t="shared" si="52"/>
        <v>15.977377225361204</v>
      </c>
      <c r="H107" s="1">
        <f t="shared" si="53"/>
        <v>171.77736572976602</v>
      </c>
      <c r="I107" s="1">
        <f t="shared" si="54"/>
        <v>374.73959131132915</v>
      </c>
      <c r="J107" s="1">
        <f t="shared" si="55"/>
        <v>4.76087364419049</v>
      </c>
      <c r="K107" s="1">
        <f t="shared" si="56"/>
        <v>89.43299799988128</v>
      </c>
      <c r="L107" s="1">
        <f t="shared" si="57"/>
        <v>89.55962845558659</v>
      </c>
    </row>
    <row r="108" spans="1:12" ht="12.75">
      <c r="A108" s="1">
        <f t="shared" si="48"/>
        <v>5.299999999999989</v>
      </c>
      <c r="B108" s="1">
        <f t="shared" si="27"/>
        <v>16</v>
      </c>
      <c r="C108" s="1">
        <f t="shared" si="28"/>
        <v>0</v>
      </c>
      <c r="D108" s="1">
        <f t="shared" si="49"/>
        <v>0</v>
      </c>
      <c r="E108" s="1" t="e">
        <f t="shared" si="50"/>
        <v>#DIV/0!</v>
      </c>
      <c r="F108" s="1">
        <f t="shared" si="51"/>
        <v>0</v>
      </c>
      <c r="G108" s="1">
        <f t="shared" si="52"/>
        <v>15.97764972009592</v>
      </c>
      <c r="H108" s="1">
        <f t="shared" si="53"/>
        <v>172.12649646367333</v>
      </c>
      <c r="I108" s="1">
        <f t="shared" si="54"/>
        <v>381.33795460771717</v>
      </c>
      <c r="J108" s="1">
        <f t="shared" si="55"/>
        <v>4.76087364419049</v>
      </c>
      <c r="K108" s="1">
        <f t="shared" si="56"/>
        <v>89.97768131438222</v>
      </c>
      <c r="L108" s="1">
        <f t="shared" si="57"/>
        <v>90.1035462818666</v>
      </c>
    </row>
    <row r="109" spans="1:12" ht="12.75">
      <c r="A109" s="1">
        <f t="shared" si="48"/>
        <v>5.349999999999989</v>
      </c>
      <c r="B109" s="1">
        <f t="shared" si="27"/>
        <v>16</v>
      </c>
      <c r="C109" s="1">
        <f t="shared" si="28"/>
        <v>0</v>
      </c>
      <c r="D109" s="1">
        <f t="shared" si="49"/>
        <v>0</v>
      </c>
      <c r="E109" s="1" t="e">
        <f t="shared" si="50"/>
        <v>#DIV/0!</v>
      </c>
      <c r="F109" s="1">
        <f t="shared" si="51"/>
        <v>0</v>
      </c>
      <c r="G109" s="1">
        <f t="shared" si="52"/>
        <v>15.977917328840917</v>
      </c>
      <c r="H109" s="1">
        <f t="shared" si="53"/>
        <v>172.47562719758065</v>
      </c>
      <c r="I109" s="1">
        <f t="shared" si="54"/>
        <v>387.9762620284054</v>
      </c>
      <c r="J109" s="1">
        <f t="shared" si="55"/>
        <v>4.76087364419049</v>
      </c>
      <c r="K109" s="1">
        <f t="shared" si="56"/>
        <v>90.5223739184764</v>
      </c>
      <c r="L109" s="1">
        <f t="shared" si="57"/>
        <v>90.64748257779917</v>
      </c>
    </row>
    <row r="110" spans="1:12" ht="12.75">
      <c r="A110" s="1">
        <f t="shared" si="48"/>
        <v>5.399999999999989</v>
      </c>
      <c r="B110" s="1">
        <f t="shared" si="27"/>
        <v>16</v>
      </c>
      <c r="C110" s="1">
        <f t="shared" si="28"/>
        <v>0</v>
      </c>
      <c r="D110" s="1">
        <f t="shared" si="49"/>
        <v>0</v>
      </c>
      <c r="E110" s="1" t="e">
        <f t="shared" si="50"/>
        <v>#DIV/0!</v>
      </c>
      <c r="F110" s="1">
        <f t="shared" si="51"/>
        <v>0</v>
      </c>
      <c r="G110" s="1">
        <f t="shared" si="52"/>
        <v>15.97818016752777</v>
      </c>
      <c r="H110" s="1">
        <f t="shared" si="53"/>
        <v>172.82475793148797</v>
      </c>
      <c r="I110" s="1">
        <f t="shared" si="54"/>
        <v>394.6545142424158</v>
      </c>
      <c r="J110" s="1">
        <f t="shared" si="55"/>
        <v>4.76087364419049</v>
      </c>
      <c r="K110" s="1">
        <f t="shared" si="56"/>
        <v>91.06707564559598</v>
      </c>
      <c r="L110" s="1">
        <f t="shared" si="57"/>
        <v>91.19143701300383</v>
      </c>
    </row>
    <row r="111" spans="1:12" ht="12.75">
      <c r="A111" s="1">
        <f t="shared" si="48"/>
        <v>5.449999999999989</v>
      </c>
      <c r="B111" s="1">
        <f t="shared" si="27"/>
        <v>16</v>
      </c>
      <c r="C111" s="1">
        <f t="shared" si="28"/>
        <v>0</v>
      </c>
      <c r="D111" s="1">
        <f t="shared" si="49"/>
        <v>0</v>
      </c>
      <c r="E111" s="1" t="e">
        <f t="shared" si="50"/>
        <v>#DIV/0!</v>
      </c>
      <c r="F111" s="1">
        <f t="shared" si="51"/>
        <v>0</v>
      </c>
      <c r="G111" s="1">
        <f t="shared" si="52"/>
        <v>15.97843834867533</v>
      </c>
      <c r="H111" s="1">
        <f t="shared" si="53"/>
        <v>173.17388866539528</v>
      </c>
      <c r="I111" s="1">
        <f t="shared" si="54"/>
        <v>401.372711906845</v>
      </c>
      <c r="J111" s="1">
        <f t="shared" si="55"/>
        <v>4.76087364419049</v>
      </c>
      <c r="K111" s="1">
        <f t="shared" si="56"/>
        <v>91.61178633312534</v>
      </c>
      <c r="L111" s="1">
        <f t="shared" si="57"/>
        <v>91.73540926491884</v>
      </c>
    </row>
    <row r="112" spans="1:12" ht="12.75">
      <c r="A112" s="1">
        <f t="shared" si="48"/>
        <v>5.4999999999999885</v>
      </c>
      <c r="B112" s="1">
        <f t="shared" si="27"/>
        <v>16</v>
      </c>
      <c r="C112" s="1">
        <f t="shared" si="28"/>
        <v>0</v>
      </c>
      <c r="D112" s="1">
        <f t="shared" si="49"/>
        <v>0</v>
      </c>
      <c r="E112" s="1" t="e">
        <f t="shared" si="50"/>
        <v>#DIV/0!</v>
      </c>
      <c r="F112" s="1">
        <f t="shared" si="51"/>
        <v>0</v>
      </c>
      <c r="G112" s="1">
        <f t="shared" si="52"/>
        <v>15.978691981509398</v>
      </c>
      <c r="H112" s="1">
        <f t="shared" si="53"/>
        <v>173.5230193993026</v>
      </c>
      <c r="I112" s="1">
        <f t="shared" si="54"/>
        <v>408.13085566714585</v>
      </c>
      <c r="J112" s="1">
        <f t="shared" si="55"/>
        <v>4.76087364419049</v>
      </c>
      <c r="K112" s="1">
        <f t="shared" si="56"/>
        <v>92.15650582228473</v>
      </c>
      <c r="L112" s="1">
        <f t="shared" si="57"/>
        <v>92.27939901857157</v>
      </c>
    </row>
    <row r="113" spans="1:12" ht="12.75">
      <c r="A113" s="1">
        <f t="shared" si="48"/>
        <v>5.549999999999988</v>
      </c>
      <c r="B113" s="1">
        <f t="shared" si="27"/>
        <v>16</v>
      </c>
      <c r="C113" s="1">
        <f t="shared" si="28"/>
        <v>0</v>
      </c>
      <c r="D113" s="1">
        <f t="shared" si="49"/>
        <v>0</v>
      </c>
      <c r="E113" s="1" t="e">
        <f t="shared" si="50"/>
        <v>#DIV/0!</v>
      </c>
      <c r="F113" s="1">
        <f t="shared" si="51"/>
        <v>0</v>
      </c>
      <c r="G113" s="1">
        <f t="shared" si="52"/>
        <v>15.978941172077505</v>
      </c>
      <c r="H113" s="1">
        <f t="shared" si="53"/>
        <v>173.8721501332099</v>
      </c>
      <c r="I113" s="1">
        <f t="shared" si="54"/>
        <v>414.9289461574005</v>
      </c>
      <c r="J113" s="1">
        <f t="shared" si="55"/>
        <v>4.76087364419049</v>
      </c>
      <c r="K113" s="1">
        <f t="shared" si="56"/>
        <v>92.70123395801801</v>
      </c>
      <c r="L113" s="1">
        <f t="shared" si="57"/>
        <v>92.8234059663571</v>
      </c>
    </row>
    <row r="114" spans="1:12" ht="12.75">
      <c r="A114" s="1">
        <f t="shared" si="48"/>
        <v>5.599999999999988</v>
      </c>
      <c r="B114" s="1">
        <f t="shared" si="27"/>
        <v>16</v>
      </c>
      <c r="C114" s="1">
        <f t="shared" si="28"/>
        <v>0</v>
      </c>
      <c r="D114" s="1">
        <f t="shared" si="49"/>
        <v>0</v>
      </c>
      <c r="E114" s="1" t="e">
        <f t="shared" si="50"/>
        <v>#DIV/0!</v>
      </c>
      <c r="F114" s="1">
        <f t="shared" si="51"/>
        <v>0</v>
      </c>
      <c r="G114" s="1">
        <f t="shared" si="52"/>
        <v>15.979186023359086</v>
      </c>
      <c r="H114" s="1">
        <f t="shared" si="53"/>
        <v>174.22128086711723</v>
      </c>
      <c r="I114" s="1">
        <f t="shared" si="54"/>
        <v>421.76698400058535</v>
      </c>
      <c r="J114" s="1">
        <f t="shared" si="55"/>
        <v>4.76087364419049</v>
      </c>
      <c r="K114" s="1">
        <f t="shared" si="56"/>
        <v>93.24597058888429</v>
      </c>
      <c r="L114" s="1">
        <f t="shared" si="57"/>
        <v>93.36742980782444</v>
      </c>
    </row>
    <row r="115" spans="1:12" ht="12.75">
      <c r="A115" s="1">
        <f t="shared" si="48"/>
        <v>5.649999999999988</v>
      </c>
      <c r="B115" s="1">
        <f t="shared" si="27"/>
        <v>16</v>
      </c>
      <c r="C115" s="1">
        <f t="shared" si="28"/>
        <v>0</v>
      </c>
      <c r="D115" s="1">
        <f t="shared" si="49"/>
        <v>0</v>
      </c>
      <c r="E115" s="1" t="e">
        <f t="shared" si="50"/>
        <v>#DIV/0!</v>
      </c>
      <c r="F115" s="1">
        <f t="shared" si="51"/>
        <v>0</v>
      </c>
      <c r="G115" s="1">
        <f t="shared" si="52"/>
        <v>15.979426635371226</v>
      </c>
      <c r="H115" s="1">
        <f t="shared" si="53"/>
        <v>174.57041160102455</v>
      </c>
      <c r="I115" s="1">
        <f t="shared" si="54"/>
        <v>428.6449698088286</v>
      </c>
      <c r="J115" s="1">
        <f t="shared" si="55"/>
        <v>4.76087364419049</v>
      </c>
      <c r="K115" s="1">
        <f t="shared" si="56"/>
        <v>93.79071556695335</v>
      </c>
      <c r="L115" s="1">
        <f t="shared" si="57"/>
        <v>93.91147024947001</v>
      </c>
    </row>
    <row r="116" spans="1:12" ht="12.75">
      <c r="A116" s="1">
        <f t="shared" si="48"/>
        <v>5.699999999999988</v>
      </c>
      <c r="B116" s="1">
        <f t="shared" si="27"/>
        <v>16</v>
      </c>
      <c r="C116" s="1">
        <f t="shared" si="28"/>
        <v>0</v>
      </c>
      <c r="D116" s="1">
        <f t="shared" si="49"/>
        <v>0</v>
      </c>
      <c r="E116" s="1" t="e">
        <f t="shared" si="50"/>
        <v>#DIV/0!</v>
      </c>
      <c r="F116" s="1">
        <f t="shared" si="51"/>
        <v>0</v>
      </c>
      <c r="G116" s="1">
        <f t="shared" si="52"/>
        <v>15.979663105270168</v>
      </c>
      <c r="H116" s="1">
        <f t="shared" si="53"/>
        <v>174.91954233493186</v>
      </c>
      <c r="I116" s="1">
        <f t="shared" si="54"/>
        <v>435.5629041836603</v>
      </c>
      <c r="J116" s="1">
        <f t="shared" si="55"/>
        <v>4.76087364419049</v>
      </c>
      <c r="K116" s="1">
        <f t="shared" si="56"/>
        <v>94.33546874770464</v>
      </c>
      <c r="L116" s="1">
        <f t="shared" si="57"/>
        <v>94.45552700453852</v>
      </c>
    </row>
    <row r="117" spans="1:12" ht="12.75">
      <c r="A117" s="1">
        <f t="shared" si="48"/>
        <v>5.749999999999988</v>
      </c>
      <c r="B117" s="1">
        <f t="shared" si="27"/>
        <v>16</v>
      </c>
      <c r="C117" s="1">
        <f t="shared" si="28"/>
        <v>0</v>
      </c>
      <c r="D117" s="1">
        <f t="shared" si="49"/>
        <v>0</v>
      </c>
      <c r="E117" s="1" t="e">
        <f t="shared" si="50"/>
        <v>#DIV/0!</v>
      </c>
      <c r="F117" s="1">
        <f t="shared" si="51"/>
        <v>0</v>
      </c>
      <c r="G117" s="1">
        <f t="shared" si="52"/>
        <v>15.979895527448821</v>
      </c>
      <c r="H117" s="1">
        <f t="shared" si="53"/>
        <v>175.26867306883918</v>
      </c>
      <c r="I117" s="1">
        <f t="shared" si="54"/>
        <v>442.52078771625514</v>
      </c>
      <c r="J117" s="1">
        <f t="shared" si="55"/>
        <v>4.76087364419049</v>
      </c>
      <c r="K117" s="1">
        <f t="shared" si="56"/>
        <v>94.88022998992976</v>
      </c>
      <c r="L117" s="1">
        <f t="shared" si="57"/>
        <v>94.99959979283025</v>
      </c>
    </row>
    <row r="118" spans="1:12" ht="12.75">
      <c r="A118" s="1">
        <f t="shared" si="48"/>
        <v>5.799999999999987</v>
      </c>
      <c r="B118" s="1">
        <f t="shared" si="27"/>
        <v>16</v>
      </c>
      <c r="C118" s="1">
        <f t="shared" si="28"/>
        <v>0</v>
      </c>
      <c r="D118" s="1">
        <f t="shared" si="49"/>
        <v>0</v>
      </c>
      <c r="E118" s="1" t="e">
        <f t="shared" si="50"/>
        <v>#DIV/0!</v>
      </c>
      <c r="F118" s="1">
        <f t="shared" si="51"/>
        <v>0</v>
      </c>
      <c r="G118" s="1">
        <f t="shared" si="52"/>
        <v>15.980123993630393</v>
      </c>
      <c r="H118" s="1">
        <f t="shared" si="53"/>
        <v>175.6178038027465</v>
      </c>
      <c r="I118" s="1">
        <f t="shared" si="54"/>
        <v>449.5186209876686</v>
      </c>
      <c r="J118" s="1">
        <f t="shared" si="55"/>
        <v>4.76087364419049</v>
      </c>
      <c r="K118" s="1">
        <f t="shared" si="56"/>
        <v>95.42499915563825</v>
      </c>
      <c r="L118" s="1">
        <f t="shared" si="57"/>
        <v>95.54368834051523</v>
      </c>
    </row>
    <row r="119" spans="1:12" ht="12.75">
      <c r="A119" s="1">
        <f t="shared" si="48"/>
        <v>5.849999999999987</v>
      </c>
      <c r="B119" s="1">
        <f t="shared" si="27"/>
        <v>16</v>
      </c>
      <c r="C119" s="1">
        <f t="shared" si="28"/>
        <v>0</v>
      </c>
      <c r="D119" s="1">
        <f t="shared" si="49"/>
        <v>0</v>
      </c>
      <c r="E119" s="1" t="e">
        <f t="shared" si="50"/>
        <v>#DIV/0!</v>
      </c>
      <c r="F119" s="1">
        <f t="shared" si="51"/>
        <v>0</v>
      </c>
      <c r="G119" s="1">
        <f t="shared" si="52"/>
        <v>15.980348592958356</v>
      </c>
      <c r="H119" s="1">
        <f t="shared" si="53"/>
        <v>175.9669345366538</v>
      </c>
      <c r="I119" s="1">
        <f t="shared" si="54"/>
        <v>456.55640456906616</v>
      </c>
      <c r="J119" s="1">
        <f t="shared" si="55"/>
        <v>4.76087364419049</v>
      </c>
      <c r="K119" s="1">
        <f t="shared" si="56"/>
        <v>95.96977610996656</v>
      </c>
      <c r="L119" s="1">
        <f t="shared" si="57"/>
        <v>96.08779237995353</v>
      </c>
    </row>
    <row r="120" spans="1:12" ht="12.75">
      <c r="A120" s="1">
        <f t="shared" si="48"/>
        <v>5.899999999999987</v>
      </c>
      <c r="B120" s="1">
        <f t="shared" si="27"/>
        <v>16</v>
      </c>
      <c r="C120" s="1">
        <f t="shared" si="28"/>
        <v>0</v>
      </c>
      <c r="D120" s="1">
        <f t="shared" si="49"/>
        <v>0</v>
      </c>
      <c r="E120" s="1" t="e">
        <f t="shared" si="50"/>
        <v>#DIV/0!</v>
      </c>
      <c r="F120" s="1">
        <f t="shared" si="51"/>
        <v>0</v>
      </c>
      <c r="G120" s="1">
        <f t="shared" si="52"/>
        <v>15.980569412082906</v>
      </c>
      <c r="H120" s="1">
        <f t="shared" si="53"/>
        <v>176.31606527056113</v>
      </c>
      <c r="I120" s="1">
        <f t="shared" si="54"/>
        <v>463.6341390219461</v>
      </c>
      <c r="J120" s="1">
        <f t="shared" si="55"/>
        <v>4.76087364419049</v>
      </c>
      <c r="K120" s="1">
        <f t="shared" si="56"/>
        <v>96.51456072109013</v>
      </c>
      <c r="L120" s="1">
        <f t="shared" si="57"/>
        <v>96.63191164952157</v>
      </c>
    </row>
    <row r="121" spans="1:12" ht="12.75">
      <c r="A121" s="1">
        <f t="shared" si="48"/>
        <v>5.949999999999987</v>
      </c>
      <c r="B121" s="1">
        <f t="shared" si="27"/>
        <v>16</v>
      </c>
      <c r="C121" s="1">
        <f t="shared" si="28"/>
        <v>0</v>
      </c>
      <c r="D121" s="1">
        <f t="shared" si="49"/>
        <v>0</v>
      </c>
      <c r="E121" s="1" t="e">
        <f t="shared" si="50"/>
        <v>#DIV/0!</v>
      </c>
      <c r="F121" s="1">
        <f t="shared" si="51"/>
        <v>0</v>
      </c>
      <c r="G121" s="1">
        <f t="shared" si="52"/>
        <v>15.980786535244059</v>
      </c>
      <c r="H121" s="1">
        <f t="shared" si="53"/>
        <v>176.66519600446844</v>
      </c>
      <c r="I121" s="1">
        <f t="shared" si="54"/>
        <v>470.7518248983563</v>
      </c>
      <c r="J121" s="1">
        <f t="shared" si="55"/>
        <v>4.76087364419049</v>
      </c>
      <c r="K121" s="1">
        <f t="shared" si="56"/>
        <v>97.05935286013842</v>
      </c>
      <c r="L121" s="1">
        <f t="shared" si="57"/>
        <v>97.17604589344438</v>
      </c>
    </row>
    <row r="122" spans="1:12" ht="12.75">
      <c r="A122" s="1">
        <f t="shared" si="48"/>
        <v>5.999999999999987</v>
      </c>
      <c r="B122" s="1">
        <f t="shared" si="27"/>
        <v>16</v>
      </c>
      <c r="C122" s="1">
        <f t="shared" si="28"/>
        <v>0</v>
      </c>
      <c r="D122" s="1">
        <f t="shared" si="49"/>
        <v>0</v>
      </c>
      <c r="E122" s="1" t="e">
        <f t="shared" si="50"/>
        <v>#DIV/0!</v>
      </c>
      <c r="F122" s="1">
        <f t="shared" si="51"/>
        <v>0</v>
      </c>
      <c r="G122" s="1">
        <f t="shared" si="52"/>
        <v>15.981000044351545</v>
      </c>
      <c r="H122" s="1">
        <f t="shared" si="53"/>
        <v>177.01432673837576</v>
      </c>
      <c r="I122" s="1">
        <f t="shared" si="54"/>
        <v>477.90946274110456</v>
      </c>
      <c r="J122" s="1">
        <f t="shared" si="55"/>
        <v>4.76087364419049</v>
      </c>
      <c r="K122" s="1">
        <f t="shared" si="56"/>
        <v>97.60415240111264</v>
      </c>
      <c r="L122" s="1">
        <f t="shared" si="57"/>
        <v>97.72019486163323</v>
      </c>
    </row>
    <row r="123" spans="1:12" ht="12.75">
      <c r="A123" s="1">
        <f t="shared" si="48"/>
        <v>6.0499999999999865</v>
      </c>
      <c r="B123" s="1">
        <f t="shared" si="27"/>
        <v>16</v>
      </c>
      <c r="C123" s="1">
        <f t="shared" si="28"/>
        <v>0</v>
      </c>
      <c r="D123" s="1">
        <f t="shared" si="49"/>
        <v>0</v>
      </c>
      <c r="E123" s="1" t="e">
        <f t="shared" si="50"/>
        <v>#DIV/0!</v>
      </c>
      <c r="F123" s="1">
        <f t="shared" si="51"/>
        <v>0</v>
      </c>
      <c r="G123" s="1">
        <f t="shared" si="52"/>
        <v>15.981210019061614</v>
      </c>
      <c r="H123" s="1">
        <f t="shared" si="53"/>
        <v>177.36345747228307</v>
      </c>
      <c r="I123" s="1">
        <f t="shared" si="54"/>
        <v>485.1070530839637</v>
      </c>
      <c r="J123" s="1">
        <f t="shared" si="55"/>
        <v>4.76087364419049</v>
      </c>
      <c r="K123" s="1">
        <f t="shared" si="56"/>
        <v>98.14895922080645</v>
      </c>
      <c r="L123" s="1">
        <f t="shared" si="57"/>
        <v>98.26435830952887</v>
      </c>
    </row>
    <row r="124" spans="1:12" ht="12.75">
      <c r="A124" s="1">
        <f t="shared" si="48"/>
        <v>6.099999999999986</v>
      </c>
      <c r="B124" s="1">
        <f t="shared" si="27"/>
        <v>16</v>
      </c>
      <c r="C124" s="1">
        <f t="shared" si="28"/>
        <v>0</v>
      </c>
      <c r="D124" s="1">
        <f t="shared" si="49"/>
        <v>0</v>
      </c>
      <c r="E124" s="1" t="e">
        <f t="shared" si="50"/>
        <v>#DIV/0!</v>
      </c>
      <c r="F124" s="1">
        <f t="shared" si="51"/>
        <v>0</v>
      </c>
      <c r="G124" s="1">
        <f t="shared" si="52"/>
        <v>15.981416536850947</v>
      </c>
      <c r="H124" s="1">
        <f t="shared" si="53"/>
        <v>177.7125882061904</v>
      </c>
      <c r="I124" s="1">
        <f t="shared" si="54"/>
        <v>492.3445964518705</v>
      </c>
      <c r="J124" s="1">
        <f t="shared" si="55"/>
        <v>4.76087364419049</v>
      </c>
      <c r="K124" s="1">
        <f t="shared" si="56"/>
        <v>98.693773198729</v>
      </c>
      <c r="L124" s="1">
        <f t="shared" si="57"/>
        <v>98.80853599794962</v>
      </c>
    </row>
    <row r="125" spans="1:12" ht="12.75">
      <c r="A125" s="1">
        <f t="shared" si="48"/>
        <v>6.149999999999986</v>
      </c>
      <c r="B125" s="1">
        <f t="shared" si="27"/>
        <v>16</v>
      </c>
      <c r="C125" s="1">
        <f t="shared" si="28"/>
        <v>0</v>
      </c>
      <c r="D125" s="1">
        <f t="shared" si="49"/>
        <v>0</v>
      </c>
      <c r="E125" s="1" t="e">
        <f t="shared" si="50"/>
        <v>#DIV/0!</v>
      </c>
      <c r="F125" s="1">
        <f t="shared" si="51"/>
        <v>0</v>
      </c>
      <c r="G125" s="1">
        <f t="shared" si="52"/>
        <v>15.981619673087705</v>
      </c>
      <c r="H125" s="1">
        <f t="shared" si="53"/>
        <v>178.0617189400977</v>
      </c>
      <c r="I125" s="1">
        <f t="shared" si="54"/>
        <v>499.62209336111937</v>
      </c>
      <c r="J125" s="1">
        <f t="shared" si="55"/>
        <v>4.76087364419049</v>
      </c>
      <c r="K125" s="1">
        <f t="shared" si="56"/>
        <v>99.23859421703074</v>
      </c>
      <c r="L125" s="1">
        <f t="shared" si="57"/>
        <v>99.35272769294477</v>
      </c>
    </row>
    <row r="126" spans="1:12" ht="12.75">
      <c r="A126" s="1">
        <f t="shared" si="48"/>
        <v>6.199999999999986</v>
      </c>
      <c r="B126" s="1">
        <f t="shared" si="27"/>
        <v>16</v>
      </c>
      <c r="C126" s="1">
        <f t="shared" si="28"/>
        <v>0</v>
      </c>
      <c r="D126" s="1">
        <f t="shared" si="49"/>
        <v>0</v>
      </c>
      <c r="E126" s="1" t="e">
        <f t="shared" si="50"/>
        <v>#DIV/0!</v>
      </c>
      <c r="F126" s="1">
        <f t="shared" si="51"/>
        <v>0</v>
      </c>
      <c r="G126" s="1">
        <f t="shared" si="52"/>
        <v>15.981819501099958</v>
      </c>
      <c r="H126" s="1">
        <f t="shared" si="53"/>
        <v>178.41084967400502</v>
      </c>
      <c r="I126" s="1">
        <f t="shared" si="54"/>
        <v>506.93954431955103</v>
      </c>
      <c r="J126" s="1">
        <f t="shared" si="55"/>
        <v>4.76087364419049</v>
      </c>
      <c r="K126" s="1">
        <f t="shared" si="56"/>
        <v>99.78342216043146</v>
      </c>
      <c r="L126" s="1">
        <f t="shared" si="57"/>
        <v>99.89693316565244</v>
      </c>
    </row>
    <row r="127" spans="1:12" ht="12.75">
      <c r="A127" s="1">
        <f t="shared" si="48"/>
        <v>6.249999999999986</v>
      </c>
      <c r="B127" s="1">
        <f t="shared" si="27"/>
        <v>16</v>
      </c>
      <c r="C127" s="1">
        <f t="shared" si="28"/>
        <v>0</v>
      </c>
      <c r="D127" s="1">
        <f t="shared" si="49"/>
        <v>0</v>
      </c>
      <c r="E127" s="1" t="e">
        <f t="shared" si="50"/>
        <v>#DIV/0!</v>
      </c>
      <c r="F127" s="1">
        <f t="shared" si="51"/>
        <v>0</v>
      </c>
      <c r="G127" s="1">
        <f t="shared" si="52"/>
        <v>15.982016092241475</v>
      </c>
      <c r="H127" s="1">
        <f t="shared" si="53"/>
        <v>178.75998040791234</v>
      </c>
      <c r="I127" s="1">
        <f t="shared" si="54"/>
        <v>514.2969498267354</v>
      </c>
      <c r="J127" s="1">
        <f t="shared" si="55"/>
        <v>4.76087364419049</v>
      </c>
      <c r="K127" s="1">
        <f t="shared" si="56"/>
        <v>100.32825691615078</v>
      </c>
      <c r="L127" s="1">
        <f t="shared" si="57"/>
        <v>100.44115219216226</v>
      </c>
    </row>
    <row r="128" spans="1:12" ht="12.75">
      <c r="A128" s="1">
        <f t="shared" si="48"/>
        <v>6.299999999999986</v>
      </c>
      <c r="B128" s="1">
        <f t="shared" si="27"/>
        <v>16</v>
      </c>
      <c r="C128" s="1">
        <f t="shared" si="28"/>
        <v>0</v>
      </c>
      <c r="D128" s="1">
        <f t="shared" si="49"/>
        <v>0</v>
      </c>
      <c r="E128" s="1" t="e">
        <f t="shared" si="50"/>
        <v>#DIV/0!</v>
      </c>
      <c r="F128" s="1">
        <f t="shared" si="51"/>
        <v>0</v>
      </c>
      <c r="G128" s="1">
        <f t="shared" si="52"/>
        <v>15.982209515955105</v>
      </c>
      <c r="H128" s="1">
        <f t="shared" si="53"/>
        <v>179.10911114181965</v>
      </c>
      <c r="I128" s="1">
        <f t="shared" si="54"/>
        <v>521.6943103741504</v>
      </c>
      <c r="J128" s="1">
        <f t="shared" si="55"/>
        <v>4.76087364419049</v>
      </c>
      <c r="K128" s="1">
        <f t="shared" si="56"/>
        <v>100.87309837384083</v>
      </c>
      <c r="L128" s="1">
        <f t="shared" si="57"/>
        <v>100.98538455338236</v>
      </c>
    </row>
    <row r="129" spans="1:12" ht="12.75">
      <c r="A129" s="1">
        <f t="shared" si="48"/>
        <v>6.349999999999985</v>
      </c>
      <c r="B129" s="1">
        <f t="shared" si="27"/>
        <v>16</v>
      </c>
      <c r="C129" s="1">
        <f t="shared" si="28"/>
        <v>0</v>
      </c>
      <c r="D129" s="1">
        <f t="shared" si="49"/>
        <v>0</v>
      </c>
      <c r="E129" s="1" t="e">
        <f t="shared" si="50"/>
        <v>#DIV/0!</v>
      </c>
      <c r="F129" s="1">
        <f t="shared" si="51"/>
        <v>0</v>
      </c>
      <c r="G129" s="1">
        <f t="shared" si="52"/>
        <v>15.982399839833779</v>
      </c>
      <c r="H129" s="1">
        <f t="shared" si="53"/>
        <v>179.45824187572697</v>
      </c>
      <c r="I129" s="1">
        <f t="shared" si="54"/>
        <v>529.1316264453553</v>
      </c>
      <c r="J129" s="1">
        <f t="shared" si="55"/>
        <v>4.76087364419049</v>
      </c>
      <c r="K129" s="1">
        <f t="shared" si="56"/>
        <v>101.41794642552112</v>
      </c>
      <c r="L129" s="1">
        <f t="shared" si="57"/>
        <v>101.5296300349106</v>
      </c>
    </row>
    <row r="130" spans="1:12" ht="12.75">
      <c r="A130" s="1">
        <f t="shared" si="48"/>
        <v>6.399999999999985</v>
      </c>
      <c r="B130" s="1">
        <f t="shared" si="27"/>
        <v>16</v>
      </c>
      <c r="C130" s="1">
        <f t="shared" si="28"/>
        <v>0</v>
      </c>
      <c r="D130" s="1">
        <f t="shared" si="49"/>
        <v>0</v>
      </c>
      <c r="E130" s="1" t="e">
        <f t="shared" si="50"/>
        <v>#DIV/0!</v>
      </c>
      <c r="F130" s="1">
        <f t="shared" si="51"/>
        <v>0</v>
      </c>
      <c r="G130" s="1">
        <f t="shared" si="52"/>
        <v>15.982587129679251</v>
      </c>
      <c r="H130" s="1">
        <f t="shared" si="53"/>
        <v>179.80737260963429</v>
      </c>
      <c r="I130" s="1">
        <f t="shared" si="54"/>
        <v>536.6088985161598</v>
      </c>
      <c r="J130" s="1">
        <f t="shared" si="55"/>
        <v>4.76087364419049</v>
      </c>
      <c r="K130" s="1">
        <f t="shared" si="56"/>
        <v>101.96280096551546</v>
      </c>
      <c r="L130" s="1">
        <f t="shared" si="57"/>
        <v>102.07388842690997</v>
      </c>
    </row>
    <row r="131" spans="1:12" ht="12.75">
      <c r="A131" s="1">
        <f t="shared" si="48"/>
        <v>6.449999999999985</v>
      </c>
      <c r="B131" s="1">
        <f aca="true" t="shared" si="58" ref="B131:B194">amax*MIN(1,(A131/k))</f>
        <v>16</v>
      </c>
      <c r="C131" s="1">
        <f aca="true" t="shared" si="59" ref="C131:C194">g*SQRT(1-B131*B131/(amax*amax))</f>
        <v>0</v>
      </c>
      <c r="D131" s="1">
        <f t="shared" si="49"/>
        <v>0</v>
      </c>
      <c r="E131" s="1" t="e">
        <f t="shared" si="50"/>
        <v>#DIV/0!</v>
      </c>
      <c r="F131" s="1">
        <f t="shared" si="51"/>
        <v>0</v>
      </c>
      <c r="G131" s="1">
        <f t="shared" si="52"/>
        <v>15.98277144955869</v>
      </c>
      <c r="H131" s="1">
        <f t="shared" si="53"/>
        <v>180.1565033435416</v>
      </c>
      <c r="I131" s="1">
        <f t="shared" si="54"/>
        <v>544.1261270547884</v>
      </c>
      <c r="J131" s="1">
        <f t="shared" si="55"/>
        <v>4.76087364419049</v>
      </c>
      <c r="K131" s="1">
        <f t="shared" si="56"/>
        <v>102.50766189039088</v>
      </c>
      <c r="L131" s="1">
        <f t="shared" si="57"/>
        <v>102.61815952398797</v>
      </c>
    </row>
    <row r="132" spans="1:12" ht="12.75">
      <c r="A132" s="1">
        <f t="shared" si="48"/>
        <v>6.499999999999985</v>
      </c>
      <c r="B132" s="1">
        <f t="shared" si="58"/>
        <v>16</v>
      </c>
      <c r="C132" s="1">
        <f t="shared" si="59"/>
        <v>0</v>
      </c>
      <c r="D132" s="1">
        <f t="shared" si="49"/>
        <v>0</v>
      </c>
      <c r="E132" s="1" t="e">
        <f t="shared" si="50"/>
        <v>#DIV/0!</v>
      </c>
      <c r="F132" s="1">
        <f t="shared" si="51"/>
        <v>0</v>
      </c>
      <c r="G132" s="1">
        <f t="shared" si="52"/>
        <v>15.982952861859191</v>
      </c>
      <c r="H132" s="1">
        <f t="shared" si="53"/>
        <v>180.50563407744892</v>
      </c>
      <c r="I132" s="1">
        <f t="shared" si="54"/>
        <v>551.683312522041</v>
      </c>
      <c r="J132" s="1">
        <f t="shared" si="55"/>
        <v>4.76087364419049</v>
      </c>
      <c r="K132" s="1">
        <f t="shared" si="56"/>
        <v>103.05252909889856</v>
      </c>
      <c r="L132" s="1">
        <f t="shared" si="57"/>
        <v>103.16244312507959</v>
      </c>
    </row>
    <row r="133" spans="1:12" ht="12.75">
      <c r="A133" s="1">
        <f t="shared" si="48"/>
        <v>6.549999999999985</v>
      </c>
      <c r="B133" s="1">
        <f t="shared" si="58"/>
        <v>16</v>
      </c>
      <c r="C133" s="1">
        <f t="shared" si="59"/>
        <v>0</v>
      </c>
      <c r="D133" s="1">
        <f t="shared" si="49"/>
        <v>0</v>
      </c>
      <c r="E133" s="1" t="e">
        <f t="shared" si="50"/>
        <v>#DIV/0!</v>
      </c>
      <c r="F133" s="1">
        <f t="shared" si="51"/>
        <v>0</v>
      </c>
      <c r="G133" s="1">
        <f t="shared" si="52"/>
        <v>15.983131427340302</v>
      </c>
      <c r="H133" s="1">
        <f t="shared" si="53"/>
        <v>180.85476481135623</v>
      </c>
      <c r="I133" s="1">
        <f t="shared" si="54"/>
        <v>559.2804553714482</v>
      </c>
      <c r="J133" s="1">
        <f t="shared" si="55"/>
        <v>4.76087364419049</v>
      </c>
      <c r="K133" s="1">
        <f t="shared" si="56"/>
        <v>103.59740249191648</v>
      </c>
      <c r="L133" s="1">
        <f t="shared" si="57"/>
        <v>103.70673903333424</v>
      </c>
    </row>
    <row r="134" spans="1:12" ht="12.75">
      <c r="A134" s="1">
        <f t="shared" si="48"/>
        <v>6.5999999999999845</v>
      </c>
      <c r="B134" s="1">
        <f t="shared" si="58"/>
        <v>16</v>
      </c>
      <c r="C134" s="1">
        <f t="shared" si="59"/>
        <v>0</v>
      </c>
      <c r="D134" s="1">
        <f t="shared" si="49"/>
        <v>0</v>
      </c>
      <c r="E134" s="1" t="e">
        <f t="shared" si="50"/>
        <v>#DIV/0!</v>
      </c>
      <c r="F134" s="1">
        <f t="shared" si="51"/>
        <v>0</v>
      </c>
      <c r="G134" s="1">
        <f t="shared" si="52"/>
        <v>15.98330720518465</v>
      </c>
      <c r="H134" s="1">
        <f t="shared" si="53"/>
        <v>181.20389554526355</v>
      </c>
      <c r="I134" s="1">
        <f t="shared" si="54"/>
        <v>566.9175560494238</v>
      </c>
      <c r="J134" s="1">
        <f t="shared" si="55"/>
        <v>4.76087364419049</v>
      </c>
      <c r="K134" s="1">
        <f t="shared" si="56"/>
        <v>104.14228197239399</v>
      </c>
      <c r="L134" s="1">
        <f t="shared" si="57"/>
        <v>104.25104705600594</v>
      </c>
    </row>
    <row r="135" spans="1:12" ht="12.75">
      <c r="A135" s="1">
        <f t="shared" si="48"/>
        <v>6.649999999999984</v>
      </c>
      <c r="B135" s="1">
        <f t="shared" si="58"/>
        <v>16</v>
      </c>
      <c r="C135" s="1">
        <f t="shared" si="59"/>
        <v>0</v>
      </c>
      <c r="D135" s="1">
        <f t="shared" si="49"/>
        <v>0</v>
      </c>
      <c r="E135" s="1" t="e">
        <f t="shared" si="50"/>
        <v>#DIV/0!</v>
      </c>
      <c r="F135" s="1">
        <f t="shared" si="51"/>
        <v>0</v>
      </c>
      <c r="G135" s="1">
        <f t="shared" si="52"/>
        <v>15.983480253046736</v>
      </c>
      <c r="H135" s="1">
        <f t="shared" si="53"/>
        <v>181.55302627917087</v>
      </c>
      <c r="I135" s="1">
        <f t="shared" si="54"/>
        <v>574.5946149954123</v>
      </c>
      <c r="J135" s="1">
        <f t="shared" si="55"/>
        <v>4.76087364419049</v>
      </c>
      <c r="K135" s="1">
        <f t="shared" si="56"/>
        <v>104.68716744529802</v>
      </c>
      <c r="L135" s="1">
        <f t="shared" si="57"/>
        <v>104.79536700434716</v>
      </c>
    </row>
    <row r="136" spans="1:12" ht="12.75">
      <c r="A136" s="1">
        <f t="shared" si="48"/>
        <v>6.699999999999984</v>
      </c>
      <c r="B136" s="1">
        <f t="shared" si="58"/>
        <v>16</v>
      </c>
      <c r="C136" s="1">
        <f t="shared" si="59"/>
        <v>0</v>
      </c>
      <c r="D136" s="1">
        <f t="shared" si="49"/>
        <v>0</v>
      </c>
      <c r="E136" s="1" t="e">
        <f t="shared" si="50"/>
        <v>#DIV/0!</v>
      </c>
      <c r="F136" s="1">
        <f t="shared" si="51"/>
        <v>0</v>
      </c>
      <c r="G136" s="1">
        <f t="shared" si="52"/>
        <v>15.983650627099987</v>
      </c>
      <c r="H136" s="1">
        <f t="shared" si="53"/>
        <v>181.90215701307818</v>
      </c>
      <c r="I136" s="1">
        <f t="shared" si="54"/>
        <v>582.3116326420334</v>
      </c>
      <c r="J136" s="1">
        <f t="shared" si="55"/>
        <v>4.76087364419049</v>
      </c>
      <c r="K136" s="1">
        <f t="shared" si="56"/>
        <v>105.23205881756097</v>
      </c>
      <c r="L136" s="1">
        <f t="shared" si="57"/>
        <v>105.33969869350567</v>
      </c>
    </row>
    <row r="137" spans="1:12" ht="12.75">
      <c r="A137" s="1">
        <f t="shared" si="48"/>
        <v>6.749999999999984</v>
      </c>
      <c r="B137" s="1">
        <f t="shared" si="58"/>
        <v>16</v>
      </c>
      <c r="C137" s="1">
        <f t="shared" si="59"/>
        <v>0</v>
      </c>
      <c r="D137" s="1">
        <f t="shared" si="49"/>
        <v>0</v>
      </c>
      <c r="E137" s="1" t="e">
        <f t="shared" si="50"/>
        <v>#DIV/0!</v>
      </c>
      <c r="F137" s="1">
        <f t="shared" si="51"/>
        <v>0</v>
      </c>
      <c r="G137" s="1">
        <f t="shared" si="52"/>
        <v>15.983818382082122</v>
      </c>
      <c r="H137" s="1">
        <f t="shared" si="53"/>
        <v>182.2512877469855</v>
      </c>
      <c r="I137" s="1">
        <f t="shared" si="54"/>
        <v>590.0686094152222</v>
      </c>
      <c r="J137" s="1">
        <f t="shared" si="55"/>
        <v>4.76087364419049</v>
      </c>
      <c r="K137" s="1">
        <f t="shared" si="56"/>
        <v>105.77695599803029</v>
      </c>
      <c r="L137" s="1">
        <f t="shared" si="57"/>
        <v>105.88404194242484</v>
      </c>
    </row>
    <row r="138" spans="1:12" ht="12.75">
      <c r="A138" s="1">
        <f t="shared" si="48"/>
        <v>6.799999999999984</v>
      </c>
      <c r="B138" s="1">
        <f t="shared" si="58"/>
        <v>16</v>
      </c>
      <c r="C138" s="1">
        <f t="shared" si="59"/>
        <v>0</v>
      </c>
      <c r="D138" s="1">
        <f t="shared" si="49"/>
        <v>0</v>
      </c>
      <c r="E138" s="1" t="e">
        <f t="shared" si="50"/>
        <v>#DIV/0!</v>
      </c>
      <c r="F138" s="1">
        <f t="shared" si="51"/>
        <v>0</v>
      </c>
      <c r="G138" s="1">
        <f t="shared" si="52"/>
        <v>15.98398357133891</v>
      </c>
      <c r="H138" s="1">
        <f t="shared" si="53"/>
        <v>182.6004184808928</v>
      </c>
      <c r="I138" s="1">
        <f t="shared" si="54"/>
        <v>597.8655457343663</v>
      </c>
      <c r="J138" s="1">
        <f t="shared" si="55"/>
        <v>4.76087364419049</v>
      </c>
      <c r="K138" s="1">
        <f t="shared" si="56"/>
        <v>106.32185889741945</v>
      </c>
      <c r="L138" s="1">
        <f t="shared" si="57"/>
        <v>106.4283965737468</v>
      </c>
    </row>
    <row r="139" spans="1:12" ht="12.75">
      <c r="A139" s="1">
        <f t="shared" si="48"/>
        <v>6.849999999999984</v>
      </c>
      <c r="B139" s="1">
        <f t="shared" si="58"/>
        <v>16</v>
      </c>
      <c r="C139" s="1">
        <f t="shared" si="59"/>
        <v>0</v>
      </c>
      <c r="D139" s="1">
        <f t="shared" si="49"/>
        <v>0</v>
      </c>
      <c r="E139" s="1" t="e">
        <f t="shared" si="50"/>
        <v>#DIV/0!</v>
      </c>
      <c r="F139" s="1">
        <f t="shared" si="51"/>
        <v>0</v>
      </c>
      <c r="G139" s="1">
        <f t="shared" si="52"/>
        <v>15.984146246866382</v>
      </c>
      <c r="H139" s="1">
        <f t="shared" si="53"/>
        <v>182.94954921480013</v>
      </c>
      <c r="I139" s="1">
        <f t="shared" si="54"/>
        <v>605.7024420124387</v>
      </c>
      <c r="J139" s="1">
        <f t="shared" si="55"/>
        <v>4.76087364419049</v>
      </c>
      <c r="K139" s="1">
        <f t="shared" si="56"/>
        <v>106.86676742826054</v>
      </c>
      <c r="L139" s="1">
        <f t="shared" si="57"/>
        <v>106.97276241371856</v>
      </c>
    </row>
    <row r="140" spans="1:12" ht="12.75">
      <c r="A140" s="1">
        <f t="shared" si="48"/>
        <v>6.8999999999999835</v>
      </c>
      <c r="B140" s="1">
        <f t="shared" si="58"/>
        <v>16</v>
      </c>
      <c r="C140" s="1">
        <f t="shared" si="59"/>
        <v>0</v>
      </c>
      <c r="D140" s="1">
        <f t="shared" si="49"/>
        <v>0</v>
      </c>
      <c r="E140" s="1" t="e">
        <f t="shared" si="50"/>
        <v>#DIV/0!</v>
      </c>
      <c r="F140" s="1">
        <f t="shared" si="51"/>
        <v>0</v>
      </c>
      <c r="G140" s="1">
        <f t="shared" si="52"/>
        <v>15.98430645935156</v>
      </c>
      <c r="H140" s="1">
        <f t="shared" si="53"/>
        <v>183.29867994870744</v>
      </c>
      <c r="I140" s="1">
        <f t="shared" si="54"/>
        <v>613.5792986561283</v>
      </c>
      <c r="J140" s="1">
        <f t="shared" si="55"/>
        <v>4.76087364419049</v>
      </c>
      <c r="K140" s="1">
        <f t="shared" si="56"/>
        <v>107.41168150485827</v>
      </c>
      <c r="L140" s="1">
        <f t="shared" si="57"/>
        <v>107.51713929210105</v>
      </c>
    </row>
    <row r="141" spans="1:12" ht="12.75">
      <c r="A141" s="1">
        <f t="shared" si="48"/>
        <v>6.949999999999983</v>
      </c>
      <c r="B141" s="1">
        <f t="shared" si="58"/>
        <v>16</v>
      </c>
      <c r="C141" s="1">
        <f t="shared" si="59"/>
        <v>0</v>
      </c>
      <c r="D141" s="1">
        <f t="shared" si="49"/>
        <v>0</v>
      </c>
      <c r="E141" s="1" t="e">
        <f t="shared" si="50"/>
        <v>#DIV/0!</v>
      </c>
      <c r="F141" s="1">
        <f t="shared" si="51"/>
        <v>0</v>
      </c>
      <c r="G141" s="1">
        <f t="shared" si="52"/>
        <v>15.984464258211752</v>
      </c>
      <c r="H141" s="1">
        <f t="shared" si="53"/>
        <v>183.64781068261476</v>
      </c>
      <c r="I141" s="1">
        <f t="shared" si="54"/>
        <v>621.4961160659664</v>
      </c>
      <c r="J141" s="1">
        <f t="shared" si="55"/>
        <v>4.76087364419049</v>
      </c>
      <c r="K141" s="1">
        <f t="shared" si="56"/>
        <v>107.95660104324526</v>
      </c>
      <c r="L141" s="1">
        <f t="shared" si="57"/>
        <v>108.06152704208085</v>
      </c>
    </row>
    <row r="142" spans="1:12" ht="12.75">
      <c r="A142" s="1">
        <f t="shared" si="48"/>
        <v>6.999999999999983</v>
      </c>
      <c r="B142" s="1">
        <f t="shared" si="58"/>
        <v>16</v>
      </c>
      <c r="C142" s="1">
        <f t="shared" si="59"/>
        <v>0</v>
      </c>
      <c r="D142" s="1">
        <f t="shared" si="49"/>
        <v>0</v>
      </c>
      <c r="E142" s="1" t="e">
        <f t="shared" si="50"/>
        <v>#DIV/0!</v>
      </c>
      <c r="F142" s="1">
        <f t="shared" si="51"/>
        <v>0</v>
      </c>
      <c r="G142" s="1">
        <f t="shared" si="52"/>
        <v>15.984619691632496</v>
      </c>
      <c r="H142" s="1">
        <f t="shared" si="53"/>
        <v>183.99694141652208</v>
      </c>
      <c r="I142" s="1">
        <f t="shared" si="54"/>
        <v>629.4528946364499</v>
      </c>
      <c r="J142" s="1">
        <f t="shared" si="55"/>
        <v>4.76087364419049</v>
      </c>
      <c r="K142" s="1">
        <f t="shared" si="56"/>
        <v>108.50152596113884</v>
      </c>
      <c r="L142" s="1">
        <f t="shared" si="57"/>
        <v>108.60592550018453</v>
      </c>
    </row>
    <row r="143" spans="1:12" ht="12.75">
      <c r="A143" s="1">
        <f t="shared" si="48"/>
        <v>7.049999999999983</v>
      </c>
      <c r="B143" s="1">
        <f t="shared" si="58"/>
        <v>16</v>
      </c>
      <c r="C143" s="1">
        <f t="shared" si="59"/>
        <v>0</v>
      </c>
      <c r="D143" s="1">
        <f t="shared" si="49"/>
        <v>0</v>
      </c>
      <c r="E143" s="1" t="e">
        <f t="shared" si="50"/>
        <v>#DIV/0!</v>
      </c>
      <c r="F143" s="1">
        <f t="shared" si="51"/>
        <v>0</v>
      </c>
      <c r="G143" s="1">
        <f t="shared" si="52"/>
        <v>15.984772806604168</v>
      </c>
      <c r="H143" s="1">
        <f t="shared" si="53"/>
        <v>184.3460721504294</v>
      </c>
      <c r="I143" s="1">
        <f t="shared" si="54"/>
        <v>637.4496347561625</v>
      </c>
      <c r="J143" s="1">
        <f t="shared" si="55"/>
        <v>4.76087364419049</v>
      </c>
      <c r="K143" s="1">
        <f t="shared" si="56"/>
        <v>109.04645617789903</v>
      </c>
      <c r="L143" s="1">
        <f t="shared" si="57"/>
        <v>109.15033450619563</v>
      </c>
    </row>
    <row r="144" spans="1:12" ht="12.75">
      <c r="A144" s="1">
        <f t="shared" si="48"/>
        <v>7.099999999999983</v>
      </c>
      <c r="B144" s="1">
        <f t="shared" si="58"/>
        <v>16</v>
      </c>
      <c r="C144" s="1">
        <f t="shared" si="59"/>
        <v>0</v>
      </c>
      <c r="D144" s="1">
        <f t="shared" si="49"/>
        <v>0</v>
      </c>
      <c r="E144" s="1" t="e">
        <f t="shared" si="50"/>
        <v>#DIV/0!</v>
      </c>
      <c r="F144" s="1">
        <f t="shared" si="51"/>
        <v>0</v>
      </c>
      <c r="G144" s="1">
        <f t="shared" si="52"/>
        <v>15.984923648957352</v>
      </c>
      <c r="H144" s="1">
        <f t="shared" si="53"/>
        <v>184.6952028843367</v>
      </c>
      <c r="I144" s="1">
        <f t="shared" si="54"/>
        <v>645.4863368078916</v>
      </c>
      <c r="J144" s="1">
        <f t="shared" si="55"/>
        <v>4.76087364419049</v>
      </c>
      <c r="K144" s="1">
        <f t="shared" si="56"/>
        <v>109.5913916144878</v>
      </c>
      <c r="L144" s="1">
        <f t="shared" si="57"/>
        <v>109.69475390307403</v>
      </c>
    </row>
    <row r="145" spans="1:12" ht="12.75">
      <c r="A145" s="1">
        <f t="shared" si="48"/>
        <v>7.149999999999983</v>
      </c>
      <c r="B145" s="1">
        <f t="shared" si="58"/>
        <v>16</v>
      </c>
      <c r="C145" s="1">
        <f t="shared" si="59"/>
        <v>0</v>
      </c>
      <c r="D145" s="1">
        <f t="shared" si="49"/>
        <v>0</v>
      </c>
      <c r="E145" s="1" t="e">
        <f t="shared" si="50"/>
        <v>#DIV/0!</v>
      </c>
      <c r="F145" s="1">
        <f t="shared" si="51"/>
        <v>0</v>
      </c>
      <c r="G145" s="1">
        <f t="shared" si="52"/>
        <v>15.985072263396976</v>
      </c>
      <c r="H145" s="1">
        <f t="shared" si="53"/>
        <v>185.04433361824402</v>
      </c>
      <c r="I145" s="1">
        <f t="shared" si="54"/>
        <v>653.5630011687431</v>
      </c>
      <c r="J145" s="1">
        <f t="shared" si="55"/>
        <v>4.76087364419049</v>
      </c>
      <c r="K145" s="1">
        <f t="shared" si="56"/>
        <v>110.13633219342954</v>
      </c>
      <c r="L145" s="1">
        <f t="shared" si="57"/>
        <v>110.23918353687772</v>
      </c>
    </row>
    <row r="146" spans="1:12" ht="12.75">
      <c r="A146" s="1">
        <f t="shared" si="48"/>
        <v>7.199999999999982</v>
      </c>
      <c r="B146" s="1">
        <f t="shared" si="58"/>
        <v>16</v>
      </c>
      <c r="C146" s="1">
        <f t="shared" si="59"/>
        <v>0</v>
      </c>
      <c r="D146" s="1">
        <f t="shared" si="49"/>
        <v>0</v>
      </c>
      <c r="E146" s="1" t="e">
        <f t="shared" si="50"/>
        <v>#DIV/0!</v>
      </c>
      <c r="F146" s="1">
        <f t="shared" si="51"/>
        <v>0</v>
      </c>
      <c r="G146" s="1">
        <f t="shared" si="52"/>
        <v>15.985218693535295</v>
      </c>
      <c r="H146" s="1">
        <f t="shared" si="53"/>
        <v>185.39346435215134</v>
      </c>
      <c r="I146" s="1">
        <f t="shared" si="54"/>
        <v>661.6796282102531</v>
      </c>
      <c r="J146" s="1">
        <f t="shared" si="55"/>
        <v>4.76087364419049</v>
      </c>
      <c r="K146" s="1">
        <f t="shared" si="56"/>
        <v>110.68127783877262</v>
      </c>
      <c r="L146" s="1">
        <f t="shared" si="57"/>
        <v>110.78362325668684</v>
      </c>
    </row>
    <row r="147" spans="1:12" ht="12.75">
      <c r="A147" s="1">
        <f t="shared" si="48"/>
        <v>7.249999999999982</v>
      </c>
      <c r="B147" s="1">
        <f t="shared" si="58"/>
        <v>16</v>
      </c>
      <c r="C147" s="1">
        <f t="shared" si="59"/>
        <v>0</v>
      </c>
      <c r="D147" s="1">
        <f t="shared" si="49"/>
        <v>0</v>
      </c>
      <c r="E147" s="1" t="e">
        <f t="shared" si="50"/>
        <v>#DIV/0!</v>
      </c>
      <c r="F147" s="1">
        <f t="shared" si="51"/>
        <v>0</v>
      </c>
      <c r="G147" s="1">
        <f t="shared" si="52"/>
        <v>15.98536298192374</v>
      </c>
      <c r="H147" s="1">
        <f t="shared" si="53"/>
        <v>185.74259508605866</v>
      </c>
      <c r="I147" s="1">
        <f t="shared" si="54"/>
        <v>669.8362182984969</v>
      </c>
      <c r="J147" s="1">
        <f t="shared" si="55"/>
        <v>4.76087364419049</v>
      </c>
      <c r="K147" s="1">
        <f t="shared" si="56"/>
        <v>111.22622847605223</v>
      </c>
      <c r="L147" s="1">
        <f t="shared" si="57"/>
        <v>111.32807291453004</v>
      </c>
    </row>
    <row r="148" spans="1:12" ht="12.75">
      <c r="A148" s="1">
        <f t="shared" si="48"/>
        <v>7.299999999999982</v>
      </c>
      <c r="B148" s="1">
        <f t="shared" si="58"/>
        <v>16</v>
      </c>
      <c r="C148" s="1">
        <f t="shared" si="59"/>
        <v>0</v>
      </c>
      <c r="D148" s="1">
        <f t="shared" si="49"/>
        <v>0</v>
      </c>
      <c r="E148" s="1" t="e">
        <f t="shared" si="50"/>
        <v>#DIV/0!</v>
      </c>
      <c r="F148" s="1">
        <f t="shared" si="51"/>
        <v>0</v>
      </c>
      <c r="G148" s="1">
        <f t="shared" si="52"/>
        <v>15.985505170083714</v>
      </c>
      <c r="H148" s="1">
        <f t="shared" si="53"/>
        <v>186.09172581996597</v>
      </c>
      <c r="I148" s="1">
        <f t="shared" si="54"/>
        <v>678.0327717941955</v>
      </c>
      <c r="J148" s="1">
        <f t="shared" si="55"/>
        <v>4.76087364419049</v>
      </c>
      <c r="K148" s="1">
        <f t="shared" si="56"/>
        <v>111.77118403225417</v>
      </c>
      <c r="L148" s="1">
        <f t="shared" si="57"/>
        <v>111.87253236531288</v>
      </c>
    </row>
    <row r="149" spans="1:12" ht="12.75">
      <c r="A149" s="1">
        <f t="shared" si="48"/>
        <v>7.349999999999982</v>
      </c>
      <c r="B149" s="1">
        <f t="shared" si="58"/>
        <v>16</v>
      </c>
      <c r="C149" s="1">
        <f t="shared" si="59"/>
        <v>0</v>
      </c>
      <c r="D149" s="1">
        <f t="shared" si="49"/>
        <v>0</v>
      </c>
      <c r="E149" s="1" t="e">
        <f t="shared" si="50"/>
        <v>#DIV/0!</v>
      </c>
      <c r="F149" s="1">
        <f t="shared" si="51"/>
        <v>0</v>
      </c>
      <c r="G149" s="1">
        <f t="shared" si="52"/>
        <v>15.985645298536324</v>
      </c>
      <c r="H149" s="1">
        <f t="shared" si="53"/>
        <v>186.4408565538733</v>
      </c>
      <c r="I149" s="1">
        <f t="shared" si="54"/>
        <v>686.2692890528193</v>
      </c>
      <c r="J149" s="1">
        <f t="shared" si="55"/>
        <v>4.76087364419049</v>
      </c>
      <c r="K149" s="1">
        <f t="shared" si="56"/>
        <v>112.31614443577975</v>
      </c>
      <c r="L149" s="1">
        <f t="shared" si="57"/>
        <v>112.41700146674829</v>
      </c>
    </row>
    <row r="150" spans="1:12" ht="12.75">
      <c r="A150" s="1">
        <f aca="true" t="shared" si="60" ref="A150:A213">A149+deltat</f>
        <v>7.399999999999982</v>
      </c>
      <c r="B150" s="1">
        <f t="shared" si="58"/>
        <v>16</v>
      </c>
      <c r="C150" s="1">
        <f t="shared" si="59"/>
        <v>0</v>
      </c>
      <c r="D150" s="1">
        <f aca="true" t="shared" si="61" ref="D150:D213">MAX(0,MIN(C150,g*(1-A150/k_unwind)))</f>
        <v>0</v>
      </c>
      <c r="E150" s="1" t="e">
        <f aca="true" t="shared" si="62" ref="E150:E213">(L150*L150*22*22/(15*15))/D150</f>
        <v>#DIV/0!</v>
      </c>
      <c r="F150" s="1">
        <f aca="true" t="shared" si="63" ref="F150:F213">MIN(0,B150*J150/L150-D150*K150/L150)</f>
        <v>0</v>
      </c>
      <c r="G150" s="1">
        <f aca="true" t="shared" si="64" ref="G150:G213">MAX(0,B150*K150/L150+D150*J150/L150)</f>
        <v>15.985783406831139</v>
      </c>
      <c r="H150" s="1">
        <f aca="true" t="shared" si="65" ref="H150:H213">H149+J150*deltat*22/15</f>
        <v>186.7899872877806</v>
      </c>
      <c r="I150" s="1">
        <f aca="true" t="shared" si="66" ref="I150:I213">I149+K150*deltat*22/15</f>
        <v>694.5457704246895</v>
      </c>
      <c r="J150" s="1">
        <f aca="true" t="shared" si="67" ref="J150:J213">MAX(0,J149+F149*deltat*15/22)</f>
        <v>4.76087364419049</v>
      </c>
      <c r="K150" s="1">
        <f aca="true" t="shared" si="68" ref="K150:K213">K149+G149*deltat*15/22</f>
        <v>112.86110961641167</v>
      </c>
      <c r="L150" s="1">
        <f aca="true" t="shared" si="69" ref="L150:L213">SQRT(K150*K150+J150*J150)</f>
        <v>112.96148007928915</v>
      </c>
    </row>
    <row r="151" spans="1:12" ht="12.75">
      <c r="A151" s="1">
        <f t="shared" si="60"/>
        <v>7.4499999999999815</v>
      </c>
      <c r="B151" s="1">
        <f t="shared" si="58"/>
        <v>16</v>
      </c>
      <c r="C151" s="1">
        <f t="shared" si="59"/>
        <v>0</v>
      </c>
      <c r="D151" s="1">
        <f t="shared" si="61"/>
        <v>0</v>
      </c>
      <c r="E151" s="1" t="e">
        <f t="shared" si="62"/>
        <v>#DIV/0!</v>
      </c>
      <c r="F151" s="1">
        <f t="shared" si="63"/>
        <v>0</v>
      </c>
      <c r="G151" s="1">
        <f t="shared" si="64"/>
        <v>15.985919533573968</v>
      </c>
      <c r="H151" s="1">
        <f t="shared" si="65"/>
        <v>187.13911802168792</v>
      </c>
      <c r="I151" s="1">
        <f t="shared" si="66"/>
        <v>702.8622162550768</v>
      </c>
      <c r="J151" s="1">
        <f t="shared" si="67"/>
        <v>4.76087364419049</v>
      </c>
      <c r="K151" s="1">
        <f t="shared" si="68"/>
        <v>113.40607950528091</v>
      </c>
      <c r="L151" s="1">
        <f t="shared" si="69"/>
        <v>113.50596806606269</v>
      </c>
    </row>
    <row r="152" spans="1:12" ht="12.75">
      <c r="A152" s="1">
        <f t="shared" si="60"/>
        <v>7.499999999999981</v>
      </c>
      <c r="B152" s="1">
        <f t="shared" si="58"/>
        <v>16</v>
      </c>
      <c r="C152" s="1">
        <f t="shared" si="59"/>
        <v>0</v>
      </c>
      <c r="D152" s="1">
        <f t="shared" si="61"/>
        <v>0</v>
      </c>
      <c r="E152" s="1" t="e">
        <f t="shared" si="62"/>
        <v>#DIV/0!</v>
      </c>
      <c r="F152" s="1">
        <f t="shared" si="63"/>
        <v>0</v>
      </c>
      <c r="G152" s="1">
        <f t="shared" si="64"/>
        <v>15.98605371645374</v>
      </c>
      <c r="H152" s="1">
        <f t="shared" si="65"/>
        <v>187.48824875559524</v>
      </c>
      <c r="I152" s="1">
        <f t="shared" si="66"/>
        <v>711.2186268842979</v>
      </c>
      <c r="J152" s="1">
        <f t="shared" si="67"/>
        <v>4.76087364419049</v>
      </c>
      <c r="K152" s="1">
        <f t="shared" si="68"/>
        <v>113.95105403483457</v>
      </c>
      <c r="L152" s="1">
        <f t="shared" si="69"/>
        <v>114.05046529280683</v>
      </c>
    </row>
    <row r="153" spans="1:12" ht="12.75">
      <c r="A153" s="1">
        <f t="shared" si="60"/>
        <v>7.549999999999981</v>
      </c>
      <c r="B153" s="1">
        <f t="shared" si="58"/>
        <v>16</v>
      </c>
      <c r="C153" s="1">
        <f t="shared" si="59"/>
        <v>0</v>
      </c>
      <c r="D153" s="1">
        <f t="shared" si="61"/>
        <v>0</v>
      </c>
      <c r="E153" s="1" t="e">
        <f t="shared" si="62"/>
        <v>#DIV/0!</v>
      </c>
      <c r="F153" s="1">
        <f t="shared" si="63"/>
        <v>0</v>
      </c>
      <c r="G153" s="1">
        <f t="shared" si="64"/>
        <v>15.986185992268485</v>
      </c>
      <c r="H153" s="1">
        <f t="shared" si="65"/>
        <v>187.83737948950255</v>
      </c>
      <c r="I153" s="1">
        <f t="shared" si="66"/>
        <v>719.6150026478102</v>
      </c>
      <c r="J153" s="1">
        <f t="shared" si="67"/>
        <v>4.76087364419049</v>
      </c>
      <c r="K153" s="1">
        <f t="shared" si="68"/>
        <v>114.49603313880458</v>
      </c>
      <c r="L153" s="1">
        <f t="shared" si="69"/>
        <v>114.59497162780828</v>
      </c>
    </row>
    <row r="154" spans="1:12" ht="12.75">
      <c r="A154" s="1">
        <f t="shared" si="60"/>
        <v>7.599999999999981</v>
      </c>
      <c r="B154" s="1">
        <f t="shared" si="58"/>
        <v>16</v>
      </c>
      <c r="C154" s="1">
        <f t="shared" si="59"/>
        <v>0</v>
      </c>
      <c r="D154" s="1">
        <f t="shared" si="61"/>
        <v>0</v>
      </c>
      <c r="E154" s="1" t="e">
        <f t="shared" si="62"/>
        <v>#DIV/0!</v>
      </c>
      <c r="F154" s="1">
        <f t="shared" si="63"/>
        <v>0</v>
      </c>
      <c r="G154" s="1">
        <f t="shared" si="64"/>
        <v>15.986316396950452</v>
      </c>
      <c r="H154" s="1">
        <f t="shared" si="65"/>
        <v>188.18651022340987</v>
      </c>
      <c r="I154" s="1">
        <f t="shared" si="66"/>
        <v>728.0513438763032</v>
      </c>
      <c r="J154" s="1">
        <f t="shared" si="67"/>
        <v>4.76087364419049</v>
      </c>
      <c r="K154" s="1">
        <f t="shared" si="68"/>
        <v>115.04101675217737</v>
      </c>
      <c r="L154" s="1">
        <f t="shared" si="69"/>
        <v>115.13948694184242</v>
      </c>
    </row>
    <row r="155" spans="1:12" ht="12.75">
      <c r="A155" s="1">
        <f t="shared" si="60"/>
        <v>7.649999999999981</v>
      </c>
      <c r="B155" s="1">
        <f t="shared" si="58"/>
        <v>16</v>
      </c>
      <c r="C155" s="1">
        <f t="shared" si="59"/>
        <v>0</v>
      </c>
      <c r="D155" s="1">
        <f t="shared" si="61"/>
        <v>0</v>
      </c>
      <c r="E155" s="1" t="e">
        <f t="shared" si="62"/>
        <v>#DIV/0!</v>
      </c>
      <c r="F155" s="1">
        <f t="shared" si="63"/>
        <v>0</v>
      </c>
      <c r="G155" s="1">
        <f t="shared" si="64"/>
        <v>15.986444965590417</v>
      </c>
      <c r="H155" s="1">
        <f t="shared" si="65"/>
        <v>188.53564095731718</v>
      </c>
      <c r="I155" s="1">
        <f t="shared" si="66"/>
        <v>736.5276508957886</v>
      </c>
      <c r="J155" s="1">
        <f t="shared" si="67"/>
        <v>4.76087364419049</v>
      </c>
      <c r="K155" s="1">
        <f t="shared" si="68"/>
        <v>115.58600481116432</v>
      </c>
      <c r="L155" s="1">
        <f t="shared" si="69"/>
        <v>115.68401110811489</v>
      </c>
    </row>
    <row r="156" spans="1:12" ht="12.75">
      <c r="A156" s="1">
        <f t="shared" si="60"/>
        <v>7.699999999999981</v>
      </c>
      <c r="B156" s="1">
        <f t="shared" si="58"/>
        <v>16</v>
      </c>
      <c r="C156" s="1">
        <f t="shared" si="59"/>
        <v>0</v>
      </c>
      <c r="D156" s="1">
        <f t="shared" si="61"/>
        <v>0</v>
      </c>
      <c r="E156" s="1" t="e">
        <f t="shared" si="62"/>
        <v>#DIV/0!</v>
      </c>
      <c r="F156" s="1">
        <f t="shared" si="63"/>
        <v>0</v>
      </c>
      <c r="G156" s="1">
        <f t="shared" si="64"/>
        <v>15.986571732461202</v>
      </c>
      <c r="H156" s="1">
        <f t="shared" si="65"/>
        <v>188.8847716912245</v>
      </c>
      <c r="I156" s="1">
        <f t="shared" si="66"/>
        <v>745.0439240276879</v>
      </c>
      <c r="J156" s="1">
        <f t="shared" si="67"/>
        <v>4.76087364419049</v>
      </c>
      <c r="K156" s="1">
        <f t="shared" si="68"/>
        <v>116.13099725317308</v>
      </c>
      <c r="L156" s="1">
        <f t="shared" si="69"/>
        <v>116.22854400220473</v>
      </c>
    </row>
    <row r="157" spans="1:12" ht="12.75">
      <c r="A157" s="1">
        <f t="shared" si="60"/>
        <v>7.7499999999999805</v>
      </c>
      <c r="B157" s="1">
        <f t="shared" si="58"/>
        <v>16</v>
      </c>
      <c r="C157" s="1">
        <f t="shared" si="59"/>
        <v>0</v>
      </c>
      <c r="D157" s="1">
        <f t="shared" si="61"/>
        <v>0</v>
      </c>
      <c r="E157" s="1" t="e">
        <f t="shared" si="62"/>
        <v>#DIV/0!</v>
      </c>
      <c r="F157" s="1">
        <f t="shared" si="63"/>
        <v>0</v>
      </c>
      <c r="G157" s="1">
        <f t="shared" si="64"/>
        <v>15.986696731040425</v>
      </c>
      <c r="H157" s="1">
        <f t="shared" si="65"/>
        <v>189.23390242513182</v>
      </c>
      <c r="I157" s="1">
        <f t="shared" si="66"/>
        <v>753.6001635889185</v>
      </c>
      <c r="J157" s="1">
        <f t="shared" si="67"/>
        <v>4.76087364419049</v>
      </c>
      <c r="K157" s="1">
        <f t="shared" si="68"/>
        <v>116.67599401677971</v>
      </c>
      <c r="L157" s="1">
        <f t="shared" si="69"/>
        <v>116.77308550200925</v>
      </c>
    </row>
    <row r="158" spans="1:12" ht="12.75">
      <c r="A158" s="1">
        <f t="shared" si="60"/>
        <v>7.79999999999998</v>
      </c>
      <c r="B158" s="1">
        <f t="shared" si="58"/>
        <v>16</v>
      </c>
      <c r="C158" s="1">
        <f t="shared" si="59"/>
        <v>0</v>
      </c>
      <c r="D158" s="1">
        <f t="shared" si="61"/>
        <v>0</v>
      </c>
      <c r="E158" s="1" t="e">
        <f t="shared" si="62"/>
        <v>#DIV/0!</v>
      </c>
      <c r="F158" s="1">
        <f t="shared" si="63"/>
        <v>0</v>
      </c>
      <c r="G158" s="1">
        <f t="shared" si="64"/>
        <v>15.986819994032508</v>
      </c>
      <c r="H158" s="1">
        <f t="shared" si="65"/>
        <v>189.58303315903913</v>
      </c>
      <c r="I158" s="1">
        <f t="shared" si="66"/>
        <v>762.1963698919766</v>
      </c>
      <c r="J158" s="1">
        <f t="shared" si="67"/>
        <v>4.76087364419049</v>
      </c>
      <c r="K158" s="1">
        <f t="shared" si="68"/>
        <v>117.22099504170154</v>
      </c>
      <c r="L158" s="1">
        <f t="shared" si="69"/>
        <v>117.31763548769028</v>
      </c>
    </row>
    <row r="159" spans="1:12" ht="12.75">
      <c r="A159" s="1">
        <f t="shared" si="60"/>
        <v>7.84999999999998</v>
      </c>
      <c r="B159" s="1">
        <f t="shared" si="58"/>
        <v>16</v>
      </c>
      <c r="C159" s="1">
        <f t="shared" si="59"/>
        <v>0</v>
      </c>
      <c r="D159" s="1">
        <f t="shared" si="61"/>
        <v>0</v>
      </c>
      <c r="E159" s="1" t="e">
        <f t="shared" si="62"/>
        <v>#DIV/0!</v>
      </c>
      <c r="F159" s="1">
        <f t="shared" si="63"/>
        <v>0</v>
      </c>
      <c r="G159" s="1">
        <f t="shared" si="64"/>
        <v>15.986941553389995</v>
      </c>
      <c r="H159" s="1">
        <f t="shared" si="65"/>
        <v>189.93216389294645</v>
      </c>
      <c r="I159" s="1">
        <f t="shared" si="66"/>
        <v>770.8325432450198</v>
      </c>
      <c r="J159" s="1">
        <f t="shared" si="67"/>
        <v>4.76087364419049</v>
      </c>
      <c r="K159" s="1">
        <f t="shared" si="68"/>
        <v>117.76600026877084</v>
      </c>
      <c r="L159" s="1">
        <f t="shared" si="69"/>
        <v>117.86219384162202</v>
      </c>
    </row>
    <row r="160" spans="1:12" ht="12.75">
      <c r="A160" s="1">
        <f t="shared" si="60"/>
        <v>7.89999999999998</v>
      </c>
      <c r="B160" s="1">
        <f t="shared" si="58"/>
        <v>16</v>
      </c>
      <c r="C160" s="1">
        <f t="shared" si="59"/>
        <v>0</v>
      </c>
      <c r="D160" s="1">
        <f t="shared" si="61"/>
        <v>0</v>
      </c>
      <c r="E160" s="1" t="e">
        <f t="shared" si="62"/>
        <v>#DIV/0!</v>
      </c>
      <c r="F160" s="1">
        <f t="shared" si="63"/>
        <v>0</v>
      </c>
      <c r="G160" s="1">
        <f t="shared" si="64"/>
        <v>15.987061440334182</v>
      </c>
      <c r="H160" s="1">
        <f t="shared" si="65"/>
        <v>190.28129462685376</v>
      </c>
      <c r="I160" s="1">
        <f t="shared" si="66"/>
        <v>779.5086839519464</v>
      </c>
      <c r="J160" s="1">
        <f t="shared" si="67"/>
        <v>4.76087364419049</v>
      </c>
      <c r="K160" s="1">
        <f t="shared" si="68"/>
        <v>118.31100963990913</v>
      </c>
      <c r="L160" s="1">
        <f t="shared" si="69"/>
        <v>118.4067604483402</v>
      </c>
    </row>
    <row r="161" spans="1:12" ht="12.75">
      <c r="A161" s="1">
        <f t="shared" si="60"/>
        <v>7.94999999999998</v>
      </c>
      <c r="B161" s="1">
        <f t="shared" si="58"/>
        <v>16</v>
      </c>
      <c r="C161" s="1">
        <f t="shared" si="59"/>
        <v>0</v>
      </c>
      <c r="D161" s="1">
        <f t="shared" si="61"/>
        <v>0</v>
      </c>
      <c r="E161" s="1" t="e">
        <f t="shared" si="62"/>
        <v>#DIV/0!</v>
      </c>
      <c r="F161" s="1">
        <f t="shared" si="63"/>
        <v>0</v>
      </c>
      <c r="G161" s="1">
        <f t="shared" si="64"/>
        <v>15.98717968537508</v>
      </c>
      <c r="H161" s="1">
        <f t="shared" si="65"/>
        <v>190.63042536076108</v>
      </c>
      <c r="I161" s="1">
        <f t="shared" si="66"/>
        <v>788.2247923124739</v>
      </c>
      <c r="J161" s="1">
        <f t="shared" si="67"/>
        <v>4.76087364419049</v>
      </c>
      <c r="K161" s="1">
        <f t="shared" si="68"/>
        <v>118.85602309810234</v>
      </c>
      <c r="L161" s="1">
        <f t="shared" si="69"/>
        <v>118.95133519449281</v>
      </c>
    </row>
    <row r="162" spans="1:12" ht="12.75">
      <c r="A162" s="1">
        <f t="shared" si="60"/>
        <v>7.99999999999998</v>
      </c>
      <c r="B162" s="1">
        <f t="shared" si="58"/>
        <v>16</v>
      </c>
      <c r="C162" s="1">
        <f t="shared" si="59"/>
        <v>0</v>
      </c>
      <c r="D162" s="1">
        <f t="shared" si="61"/>
        <v>0</v>
      </c>
      <c r="E162" s="1" t="e">
        <f t="shared" si="62"/>
        <v>#DIV/0!</v>
      </c>
      <c r="F162" s="1">
        <f t="shared" si="63"/>
        <v>0</v>
      </c>
      <c r="G162" s="1">
        <f t="shared" si="64"/>
        <v>15.987296318330763</v>
      </c>
      <c r="H162" s="1">
        <f t="shared" si="65"/>
        <v>190.9795560946684</v>
      </c>
      <c r="I162" s="1">
        <f t="shared" si="66"/>
        <v>796.9808686222149</v>
      </c>
      <c r="J162" s="1">
        <f t="shared" si="67"/>
        <v>4.76087364419049</v>
      </c>
      <c r="K162" s="1">
        <f t="shared" si="68"/>
        <v>119.40104058737649</v>
      </c>
      <c r="L162" s="1">
        <f t="shared" si="69"/>
        <v>119.49591796879203</v>
      </c>
    </row>
    <row r="163" spans="1:12" ht="12.75">
      <c r="A163" s="1">
        <f t="shared" si="60"/>
        <v>8.04999999999998</v>
      </c>
      <c r="B163" s="1">
        <f t="shared" si="58"/>
        <v>16</v>
      </c>
      <c r="C163" s="1">
        <f t="shared" si="59"/>
        <v>0</v>
      </c>
      <c r="D163" s="1">
        <f t="shared" si="61"/>
        <v>0</v>
      </c>
      <c r="E163" s="1" t="e">
        <f t="shared" si="62"/>
        <v>#DIV/0!</v>
      </c>
      <c r="F163" s="1">
        <f t="shared" si="63"/>
        <v>0</v>
      </c>
      <c r="G163" s="1">
        <f t="shared" si="64"/>
        <v>15.987411368346088</v>
      </c>
      <c r="H163" s="1">
        <f t="shared" si="65"/>
        <v>191.3286868285757</v>
      </c>
      <c r="I163" s="1">
        <f t="shared" si="66"/>
        <v>805.7769131727516</v>
      </c>
      <c r="J163" s="1">
        <f t="shared" si="67"/>
        <v>4.76087364419049</v>
      </c>
      <c r="K163" s="1">
        <f t="shared" si="68"/>
        <v>119.94606205277412</v>
      </c>
      <c r="L163" s="1">
        <f t="shared" si="69"/>
        <v>120.04050866196748</v>
      </c>
    </row>
    <row r="164" spans="1:12" ht="12.75">
      <c r="A164" s="1">
        <f t="shared" si="60"/>
        <v>8.09999999999998</v>
      </c>
      <c r="B164" s="1">
        <f t="shared" si="58"/>
        <v>16</v>
      </c>
      <c r="C164" s="1">
        <f t="shared" si="59"/>
        <v>0</v>
      </c>
      <c r="D164" s="1">
        <f t="shared" si="61"/>
        <v>0</v>
      </c>
      <c r="E164" s="1" t="e">
        <f t="shared" si="62"/>
        <v>#DIV/0!</v>
      </c>
      <c r="F164" s="1">
        <f t="shared" si="63"/>
        <v>0</v>
      </c>
      <c r="G164" s="1">
        <f t="shared" si="64"/>
        <v>15.987524863910846</v>
      </c>
      <c r="H164" s="1">
        <f t="shared" si="65"/>
        <v>191.67781756248303</v>
      </c>
      <c r="I164" s="1">
        <f t="shared" si="66"/>
        <v>814.6129262517093</v>
      </c>
      <c r="J164" s="1">
        <f t="shared" si="67"/>
        <v>4.76087364419049</v>
      </c>
      <c r="K164" s="1">
        <f t="shared" si="68"/>
        <v>120.49108744033138</v>
      </c>
      <c r="L164" s="1">
        <f t="shared" si="69"/>
        <v>120.58510716672076</v>
      </c>
    </row>
    <row r="165" spans="1:12" ht="12.75">
      <c r="A165" s="1">
        <f t="shared" si="60"/>
        <v>8.14999999999998</v>
      </c>
      <c r="B165" s="1">
        <f t="shared" si="58"/>
        <v>16</v>
      </c>
      <c r="C165" s="1">
        <f t="shared" si="59"/>
        <v>0</v>
      </c>
      <c r="D165" s="1">
        <f t="shared" si="61"/>
        <v>0</v>
      </c>
      <c r="E165" s="1" t="e">
        <f t="shared" si="62"/>
        <v>#DIV/0!</v>
      </c>
      <c r="F165" s="1">
        <f t="shared" si="63"/>
        <v>0</v>
      </c>
      <c r="G165" s="1">
        <f t="shared" si="64"/>
        <v>15.987636832877323</v>
      </c>
      <c r="H165" s="1">
        <f t="shared" si="65"/>
        <v>192.02694829639034</v>
      </c>
      <c r="I165" s="1">
        <f t="shared" si="66"/>
        <v>823.4889081428266</v>
      </c>
      <c r="J165" s="1">
        <f t="shared" si="67"/>
        <v>4.76087364419049</v>
      </c>
      <c r="K165" s="1">
        <f t="shared" si="68"/>
        <v>121.03611669705562</v>
      </c>
      <c r="L165" s="1">
        <f t="shared" si="69"/>
        <v>121.12971337768126</v>
      </c>
    </row>
    <row r="166" spans="1:12" ht="12.75">
      <c r="A166" s="1">
        <f t="shared" si="60"/>
        <v>8.199999999999982</v>
      </c>
      <c r="B166" s="1">
        <f t="shared" si="58"/>
        <v>16</v>
      </c>
      <c r="C166" s="1">
        <f t="shared" si="59"/>
        <v>0</v>
      </c>
      <c r="D166" s="1">
        <f t="shared" si="61"/>
        <v>0</v>
      </c>
      <c r="E166" s="1" t="e">
        <f t="shared" si="62"/>
        <v>#DIV/0!</v>
      </c>
      <c r="F166" s="1">
        <f t="shared" si="63"/>
        <v>0</v>
      </c>
      <c r="G166" s="1">
        <f t="shared" si="64"/>
        <v>15.987747302477338</v>
      </c>
      <c r="H166" s="1">
        <f t="shared" si="65"/>
        <v>192.37607903029766</v>
      </c>
      <c r="I166" s="1">
        <f t="shared" si="66"/>
        <v>832.4048591260263</v>
      </c>
      <c r="J166" s="1">
        <f t="shared" si="67"/>
        <v>4.76087364419049</v>
      </c>
      <c r="K166" s="1">
        <f t="shared" si="68"/>
        <v>121.5811497709037</v>
      </c>
      <c r="L166" s="1">
        <f t="shared" si="69"/>
        <v>121.67432719136303</v>
      </c>
    </row>
    <row r="167" spans="1:12" ht="12.75">
      <c r="A167" s="1">
        <f t="shared" si="60"/>
        <v>8.249999999999982</v>
      </c>
      <c r="B167" s="1">
        <f t="shared" si="58"/>
        <v>16</v>
      </c>
      <c r="C167" s="1">
        <f t="shared" si="59"/>
        <v>0</v>
      </c>
      <c r="D167" s="1">
        <f t="shared" si="61"/>
        <v>0</v>
      </c>
      <c r="E167" s="1" t="e">
        <f t="shared" si="62"/>
        <v>#DIV/0!</v>
      </c>
      <c r="F167" s="1">
        <f t="shared" si="63"/>
        <v>0</v>
      </c>
      <c r="G167" s="1">
        <f t="shared" si="64"/>
        <v>15.98785629933873</v>
      </c>
      <c r="H167" s="1">
        <f t="shared" si="65"/>
        <v>192.72520976420498</v>
      </c>
      <c r="I167" s="1">
        <f t="shared" si="66"/>
        <v>841.3607794774821</v>
      </c>
      <c r="J167" s="1">
        <f t="shared" si="67"/>
        <v>4.76087364419049</v>
      </c>
      <c r="K167" s="1">
        <f t="shared" si="68"/>
        <v>122.12618661076088</v>
      </c>
      <c r="L167" s="1">
        <f t="shared" si="69"/>
        <v>122.21894850612297</v>
      </c>
    </row>
    <row r="168" spans="1:12" ht="12.75">
      <c r="A168" s="1">
        <f t="shared" si="60"/>
        <v>8.299999999999983</v>
      </c>
      <c r="B168" s="1">
        <f t="shared" si="58"/>
        <v>16</v>
      </c>
      <c r="C168" s="1">
        <f t="shared" si="59"/>
        <v>0</v>
      </c>
      <c r="D168" s="1">
        <f t="shared" si="61"/>
        <v>0</v>
      </c>
      <c r="E168" s="1" t="e">
        <f t="shared" si="62"/>
        <v>#DIV/0!</v>
      </c>
      <c r="F168" s="1">
        <f t="shared" si="63"/>
        <v>0</v>
      </c>
      <c r="G168" s="1">
        <f t="shared" si="64"/>
        <v>15.987963849501362</v>
      </c>
      <c r="H168" s="1">
        <f t="shared" si="65"/>
        <v>193.0743404981123</v>
      </c>
      <c r="I168" s="1">
        <f t="shared" si="66"/>
        <v>850.3566694696863</v>
      </c>
      <c r="J168" s="1">
        <f t="shared" si="67"/>
        <v>4.76087364419049</v>
      </c>
      <c r="K168" s="1">
        <f t="shared" si="68"/>
        <v>122.67122716642015</v>
      </c>
      <c r="L168" s="1">
        <f t="shared" si="69"/>
        <v>122.76357722211993</v>
      </c>
    </row>
    <row r="169" spans="1:12" ht="12.75">
      <c r="A169" s="1">
        <f t="shared" si="60"/>
        <v>8.349999999999984</v>
      </c>
      <c r="B169" s="1">
        <f t="shared" si="58"/>
        <v>16</v>
      </c>
      <c r="C169" s="1">
        <f t="shared" si="59"/>
        <v>0</v>
      </c>
      <c r="D169" s="1">
        <f t="shared" si="61"/>
        <v>0</v>
      </c>
      <c r="E169" s="1" t="e">
        <f t="shared" si="62"/>
        <v>#DIV/0!</v>
      </c>
      <c r="F169" s="1">
        <f t="shared" si="63"/>
        <v>0</v>
      </c>
      <c r="G169" s="1">
        <f t="shared" si="64"/>
        <v>15.988069978432604</v>
      </c>
      <c r="H169" s="1">
        <f t="shared" si="65"/>
        <v>193.4234712320196</v>
      </c>
      <c r="I169" s="1">
        <f t="shared" si="66"/>
        <v>859.3925293715141</v>
      </c>
      <c r="J169" s="1">
        <f t="shared" si="67"/>
        <v>4.76087364419049</v>
      </c>
      <c r="K169" s="1">
        <f t="shared" si="68"/>
        <v>123.21627138856225</v>
      </c>
      <c r="L169" s="1">
        <f t="shared" si="69"/>
        <v>123.3082132412751</v>
      </c>
    </row>
    <row r="170" spans="1:12" ht="12.75">
      <c r="A170" s="1">
        <f t="shared" si="60"/>
        <v>8.399999999999984</v>
      </c>
      <c r="B170" s="1">
        <f t="shared" si="58"/>
        <v>16</v>
      </c>
      <c r="C170" s="1">
        <f t="shared" si="59"/>
        <v>0</v>
      </c>
      <c r="D170" s="1">
        <f t="shared" si="61"/>
        <v>0</v>
      </c>
      <c r="E170" s="1" t="e">
        <f t="shared" si="62"/>
        <v>#DIV/0!</v>
      </c>
      <c r="F170" s="1">
        <f t="shared" si="63"/>
        <v>0</v>
      </c>
      <c r="G170" s="1">
        <f t="shared" si="64"/>
        <v>15.988174711042364</v>
      </c>
      <c r="H170" s="1">
        <f t="shared" si="65"/>
        <v>193.77260196592692</v>
      </c>
      <c r="I170" s="1">
        <f t="shared" si="66"/>
        <v>868.4683594482881</v>
      </c>
      <c r="J170" s="1">
        <f t="shared" si="67"/>
        <v>4.76087364419049</v>
      </c>
      <c r="K170" s="1">
        <f t="shared" si="68"/>
        <v>123.76131922873608</v>
      </c>
      <c r="L170" s="1">
        <f t="shared" si="69"/>
        <v>123.8528564672332</v>
      </c>
    </row>
    <row r="171" spans="1:12" ht="12.75">
      <c r="A171" s="1">
        <f t="shared" si="60"/>
        <v>8.449999999999985</v>
      </c>
      <c r="B171" s="1">
        <f t="shared" si="58"/>
        <v>16</v>
      </c>
      <c r="C171" s="1">
        <f t="shared" si="59"/>
        <v>0</v>
      </c>
      <c r="D171" s="1">
        <f t="shared" si="61"/>
        <v>0</v>
      </c>
      <c r="E171" s="1" t="e">
        <f t="shared" si="62"/>
        <v>#DIV/0!</v>
      </c>
      <c r="F171" s="1">
        <f t="shared" si="63"/>
        <v>0</v>
      </c>
      <c r="G171" s="1">
        <f t="shared" si="64"/>
        <v>15.988278071697655</v>
      </c>
      <c r="H171" s="1">
        <f t="shared" si="65"/>
        <v>194.12173269983424</v>
      </c>
      <c r="I171" s="1">
        <f t="shared" si="66"/>
        <v>877.5841599618396</v>
      </c>
      <c r="J171" s="1">
        <f t="shared" si="67"/>
        <v>4.76087364419049</v>
      </c>
      <c r="K171" s="1">
        <f t="shared" si="68"/>
        <v>124.3063706393398</v>
      </c>
      <c r="L171" s="1">
        <f t="shared" si="69"/>
        <v>124.39750680532495</v>
      </c>
    </row>
    <row r="172" spans="1:12" ht="12.75">
      <c r="A172" s="1">
        <f t="shared" si="60"/>
        <v>8.499999999999986</v>
      </c>
      <c r="B172" s="1">
        <f t="shared" si="58"/>
        <v>16</v>
      </c>
      <c r="C172" s="1">
        <f t="shared" si="59"/>
        <v>0</v>
      </c>
      <c r="D172" s="1">
        <f t="shared" si="61"/>
        <v>0</v>
      </c>
      <c r="E172" s="1" t="e">
        <f t="shared" si="62"/>
        <v>#DIV/0!</v>
      </c>
      <c r="F172" s="1">
        <f t="shared" si="63"/>
        <v>0</v>
      </c>
      <c r="G172" s="1">
        <f t="shared" si="64"/>
        <v>15.988380084236725</v>
      </c>
      <c r="H172" s="1">
        <f t="shared" si="65"/>
        <v>194.47086343374156</v>
      </c>
      <c r="I172" s="1">
        <f t="shared" si="66"/>
        <v>886.7399311705705</v>
      </c>
      <c r="J172" s="1">
        <f t="shared" si="67"/>
        <v>4.76087364419049</v>
      </c>
      <c r="K172" s="1">
        <f t="shared" si="68"/>
        <v>124.85142557360223</v>
      </c>
      <c r="L172" s="1">
        <f t="shared" si="69"/>
        <v>124.94216416253035</v>
      </c>
    </row>
    <row r="173" spans="1:12" ht="12.75">
      <c r="A173" s="1">
        <f t="shared" si="60"/>
        <v>8.549999999999986</v>
      </c>
      <c r="B173" s="1">
        <f t="shared" si="58"/>
        <v>16</v>
      </c>
      <c r="C173" s="1">
        <f t="shared" si="59"/>
        <v>0</v>
      </c>
      <c r="D173" s="1">
        <f t="shared" si="61"/>
        <v>0</v>
      </c>
      <c r="E173" s="1" t="e">
        <f t="shared" si="62"/>
        <v>#DIV/0!</v>
      </c>
      <c r="F173" s="1">
        <f t="shared" si="63"/>
        <v>0</v>
      </c>
      <c r="G173" s="1">
        <f t="shared" si="64"/>
        <v>15.98848077198274</v>
      </c>
      <c r="H173" s="1">
        <f t="shared" si="65"/>
        <v>194.81999416764887</v>
      </c>
      <c r="I173" s="1">
        <f t="shared" si="66"/>
        <v>895.9356733295119</v>
      </c>
      <c r="J173" s="1">
        <f t="shared" si="67"/>
        <v>4.76087364419049</v>
      </c>
      <c r="K173" s="1">
        <f t="shared" si="68"/>
        <v>125.39648398556484</v>
      </c>
      <c r="L173" s="1">
        <f t="shared" si="69"/>
        <v>125.4868284474429</v>
      </c>
    </row>
    <row r="174" spans="1:12" ht="12.75">
      <c r="A174" s="1">
        <f t="shared" si="60"/>
        <v>8.599999999999987</v>
      </c>
      <c r="B174" s="1">
        <f t="shared" si="58"/>
        <v>16</v>
      </c>
      <c r="C174" s="1">
        <f t="shared" si="59"/>
        <v>0</v>
      </c>
      <c r="D174" s="1">
        <f t="shared" si="61"/>
        <v>0</v>
      </c>
      <c r="E174" s="1" t="e">
        <f t="shared" si="62"/>
        <v>#DIV/0!</v>
      </c>
      <c r="F174" s="1">
        <f t="shared" si="63"/>
        <v>0</v>
      </c>
      <c r="G174" s="1">
        <f t="shared" si="64"/>
        <v>15.988580157757081</v>
      </c>
      <c r="H174" s="1">
        <f t="shared" si="65"/>
        <v>195.1691249015562</v>
      </c>
      <c r="I174" s="1">
        <f t="shared" si="66"/>
        <v>905.1713866903833</v>
      </c>
      <c r="J174" s="1">
        <f t="shared" si="67"/>
        <v>4.76087364419049</v>
      </c>
      <c r="K174" s="1">
        <f t="shared" si="68"/>
        <v>125.94154583006426</v>
      </c>
      <c r="L174" s="1">
        <f t="shared" si="69"/>
        <v>126.03149957023491</v>
      </c>
    </row>
    <row r="175" spans="1:12" ht="12.75">
      <c r="A175" s="1">
        <f t="shared" si="60"/>
        <v>8.649999999999988</v>
      </c>
      <c r="B175" s="1">
        <f t="shared" si="58"/>
        <v>16</v>
      </c>
      <c r="C175" s="1">
        <f t="shared" si="59"/>
        <v>0</v>
      </c>
      <c r="D175" s="1">
        <f t="shared" si="61"/>
        <v>0</v>
      </c>
      <c r="E175" s="1" t="e">
        <f t="shared" si="62"/>
        <v>#DIV/0!</v>
      </c>
      <c r="F175" s="1">
        <f t="shared" si="63"/>
        <v>0</v>
      </c>
      <c r="G175" s="1">
        <f t="shared" si="64"/>
        <v>15.98867826389224</v>
      </c>
      <c r="H175" s="1">
        <f t="shared" si="65"/>
        <v>195.5182556354635</v>
      </c>
      <c r="I175" s="1">
        <f t="shared" si="66"/>
        <v>914.4470715016491</v>
      </c>
      <c r="J175" s="1">
        <f t="shared" si="67"/>
        <v>4.76087364419049</v>
      </c>
      <c r="K175" s="1">
        <f t="shared" si="68"/>
        <v>126.48661106271507</v>
      </c>
      <c r="L175" s="1">
        <f t="shared" si="69"/>
        <v>126.57617744262348</v>
      </c>
    </row>
    <row r="176" spans="1:12" ht="12.75">
      <c r="A176" s="1">
        <f t="shared" si="60"/>
        <v>8.699999999999989</v>
      </c>
      <c r="B176" s="1">
        <f t="shared" si="58"/>
        <v>16</v>
      </c>
      <c r="C176" s="1">
        <f t="shared" si="59"/>
        <v>0</v>
      </c>
      <c r="D176" s="1">
        <f t="shared" si="61"/>
        <v>0</v>
      </c>
      <c r="E176" s="1" t="e">
        <f t="shared" si="62"/>
        <v>#DIV/0!</v>
      </c>
      <c r="F176" s="1">
        <f t="shared" si="63"/>
        <v>0</v>
      </c>
      <c r="G176" s="1">
        <f t="shared" si="64"/>
        <v>15.988775112244307</v>
      </c>
      <c r="H176" s="1">
        <f t="shared" si="65"/>
        <v>195.86738636937082</v>
      </c>
      <c r="I176" s="1">
        <f t="shared" si="66"/>
        <v>923.7627280085746</v>
      </c>
      <c r="J176" s="1">
        <f t="shared" si="67"/>
        <v>4.76087364419049</v>
      </c>
      <c r="K176" s="1">
        <f t="shared" si="68"/>
        <v>127.03167963989321</v>
      </c>
      <c r="L176" s="1">
        <f t="shared" si="69"/>
        <v>127.12086197783748</v>
      </c>
    </row>
    <row r="177" spans="1:12" ht="12.75">
      <c r="A177" s="1">
        <f t="shared" si="60"/>
        <v>8.74999999999999</v>
      </c>
      <c r="B177" s="1">
        <f t="shared" si="58"/>
        <v>16</v>
      </c>
      <c r="C177" s="1">
        <f t="shared" si="59"/>
        <v>0</v>
      </c>
      <c r="D177" s="1">
        <f t="shared" si="61"/>
        <v>0</v>
      </c>
      <c r="E177" s="1" t="e">
        <f t="shared" si="62"/>
        <v>#DIV/0!</v>
      </c>
      <c r="F177" s="1">
        <f t="shared" si="63"/>
        <v>0</v>
      </c>
      <c r="G177" s="1">
        <f t="shared" si="64"/>
        <v>15.988870724205109</v>
      </c>
      <c r="H177" s="1">
        <f t="shared" si="65"/>
        <v>196.21651710327814</v>
      </c>
      <c r="I177" s="1">
        <f t="shared" si="66"/>
        <v>933.1183564532807</v>
      </c>
      <c r="J177" s="1">
        <f t="shared" si="67"/>
        <v>4.76087364419049</v>
      </c>
      <c r="K177" s="1">
        <f t="shared" si="68"/>
        <v>127.57675151871972</v>
      </c>
      <c r="L177" s="1">
        <f t="shared" si="69"/>
        <v>127.66555309058549</v>
      </c>
    </row>
    <row r="178" spans="1:12" ht="12.75">
      <c r="A178" s="1">
        <f t="shared" si="60"/>
        <v>8.79999999999999</v>
      </c>
      <c r="B178" s="1">
        <f t="shared" si="58"/>
        <v>16</v>
      </c>
      <c r="C178" s="1">
        <f t="shared" si="59"/>
        <v>0</v>
      </c>
      <c r="D178" s="1">
        <f t="shared" si="61"/>
        <v>0</v>
      </c>
      <c r="E178" s="1" t="e">
        <f t="shared" si="62"/>
        <v>#DIV/0!</v>
      </c>
      <c r="F178" s="1">
        <f t="shared" si="63"/>
        <v>0</v>
      </c>
      <c r="G178" s="1">
        <f t="shared" si="64"/>
        <v>15.988965120713996</v>
      </c>
      <c r="H178" s="1">
        <f t="shared" si="65"/>
        <v>196.56564783718545</v>
      </c>
      <c r="I178" s="1">
        <f t="shared" si="66"/>
        <v>942.5139570747974</v>
      </c>
      <c r="J178" s="1">
        <f t="shared" si="67"/>
        <v>4.76087364419049</v>
      </c>
      <c r="K178" s="1">
        <f t="shared" si="68"/>
        <v>128.1218266570449</v>
      </c>
      <c r="L178" s="1">
        <f t="shared" si="69"/>
        <v>128.21025069702426</v>
      </c>
    </row>
    <row r="179" spans="1:12" ht="12.75">
      <c r="A179" s="1">
        <f t="shared" si="60"/>
        <v>8.84999999999999</v>
      </c>
      <c r="B179" s="1">
        <f t="shared" si="58"/>
        <v>16</v>
      </c>
      <c r="C179" s="1">
        <f t="shared" si="59"/>
        <v>0</v>
      </c>
      <c r="D179" s="1">
        <f t="shared" si="61"/>
        <v>0</v>
      </c>
      <c r="E179" s="1" t="e">
        <f t="shared" si="62"/>
        <v>#DIV/0!</v>
      </c>
      <c r="F179" s="1">
        <f t="shared" si="63"/>
        <v>0</v>
      </c>
      <c r="G179" s="1">
        <f t="shared" si="64"/>
        <v>15.989058322269257</v>
      </c>
      <c r="H179" s="1">
        <f t="shared" si="65"/>
        <v>196.91477857109277</v>
      </c>
      <c r="I179" s="1">
        <f t="shared" si="66"/>
        <v>951.9495301091158</v>
      </c>
      <c r="J179" s="1">
        <f t="shared" si="67"/>
        <v>4.76087364419049</v>
      </c>
      <c r="K179" s="1">
        <f t="shared" si="68"/>
        <v>128.66690501343288</v>
      </c>
      <c r="L179" s="1">
        <f t="shared" si="69"/>
        <v>128.7549547147282</v>
      </c>
    </row>
    <row r="180" spans="1:12" ht="12.75">
      <c r="A180" s="1">
        <f t="shared" si="60"/>
        <v>8.899999999999991</v>
      </c>
      <c r="B180" s="1">
        <f t="shared" si="58"/>
        <v>16</v>
      </c>
      <c r="C180" s="1">
        <f t="shared" si="59"/>
        <v>0</v>
      </c>
      <c r="D180" s="1">
        <f t="shared" si="61"/>
        <v>0</v>
      </c>
      <c r="E180" s="1" t="e">
        <f t="shared" si="62"/>
        <v>#DIV/0!</v>
      </c>
      <c r="F180" s="1">
        <f t="shared" si="63"/>
        <v>0</v>
      </c>
      <c r="G180" s="1">
        <f t="shared" si="64"/>
        <v>15.989150348939207</v>
      </c>
      <c r="H180" s="1">
        <f t="shared" si="65"/>
        <v>197.26390930500008</v>
      </c>
      <c r="I180" s="1">
        <f t="shared" si="66"/>
        <v>961.4250757892399</v>
      </c>
      <c r="J180" s="1">
        <f t="shared" si="67"/>
        <v>4.76087364419049</v>
      </c>
      <c r="K180" s="1">
        <f t="shared" si="68"/>
        <v>129.2119865471466</v>
      </c>
      <c r="L180" s="1">
        <f t="shared" si="69"/>
        <v>129.29966506265956</v>
      </c>
    </row>
    <row r="181" spans="1:12" ht="12.75">
      <c r="A181" s="1">
        <f t="shared" si="60"/>
        <v>8.949999999999992</v>
      </c>
      <c r="B181" s="1">
        <f t="shared" si="58"/>
        <v>16</v>
      </c>
      <c r="C181" s="1">
        <f t="shared" si="59"/>
        <v>0</v>
      </c>
      <c r="D181" s="1">
        <f t="shared" si="61"/>
        <v>0</v>
      </c>
      <c r="E181" s="1" t="e">
        <f t="shared" si="62"/>
        <v>#DIV/0!</v>
      </c>
      <c r="F181" s="1">
        <f t="shared" si="63"/>
        <v>0</v>
      </c>
      <c r="G181" s="1">
        <f t="shared" si="64"/>
        <v>15.989241220372973</v>
      </c>
      <c r="H181" s="1">
        <f t="shared" si="65"/>
        <v>197.6130400389074</v>
      </c>
      <c r="I181" s="1">
        <f t="shared" si="66"/>
        <v>970.9405943452364</v>
      </c>
      <c r="J181" s="1">
        <f t="shared" si="67"/>
        <v>4.76087364419049</v>
      </c>
      <c r="K181" s="1">
        <f t="shared" si="68"/>
        <v>129.75707121813318</v>
      </c>
      <c r="L181" s="1">
        <f t="shared" si="69"/>
        <v>129.8443816611394</v>
      </c>
    </row>
    <row r="182" spans="1:12" ht="12.75">
      <c r="A182" s="1">
        <f t="shared" si="60"/>
        <v>8.999999999999993</v>
      </c>
      <c r="B182" s="1">
        <f t="shared" si="58"/>
        <v>16</v>
      </c>
      <c r="C182" s="1">
        <f t="shared" si="59"/>
        <v>0</v>
      </c>
      <c r="D182" s="1">
        <f t="shared" si="61"/>
        <v>0</v>
      </c>
      <c r="E182" s="1" t="e">
        <f t="shared" si="62"/>
        <v>#DIV/0!</v>
      </c>
      <c r="F182" s="1">
        <f t="shared" si="63"/>
        <v>0</v>
      </c>
      <c r="G182" s="1">
        <f t="shared" si="64"/>
        <v>15.98933095581094</v>
      </c>
      <c r="H182" s="1">
        <f t="shared" si="65"/>
        <v>197.96217077281472</v>
      </c>
      <c r="I182" s="1">
        <f t="shared" si="66"/>
        <v>980.4960860042837</v>
      </c>
      <c r="J182" s="1">
        <f t="shared" si="67"/>
        <v>4.76087364419049</v>
      </c>
      <c r="K182" s="1">
        <f t="shared" si="68"/>
        <v>130.30215898700953</v>
      </c>
      <c r="L182" s="1">
        <f t="shared" si="69"/>
        <v>130.38910443181922</v>
      </c>
    </row>
    <row r="183" spans="1:12" ht="12.75">
      <c r="A183" s="1">
        <f t="shared" si="60"/>
        <v>9.049999999999994</v>
      </c>
      <c r="B183" s="1">
        <f t="shared" si="58"/>
        <v>16</v>
      </c>
      <c r="C183" s="1">
        <f t="shared" si="59"/>
        <v>0</v>
      </c>
      <c r="D183" s="1">
        <f t="shared" si="61"/>
        <v>0</v>
      </c>
      <c r="E183" s="1" t="e">
        <f t="shared" si="62"/>
        <v>#DIV/0!</v>
      </c>
      <c r="F183" s="1">
        <f t="shared" si="63"/>
        <v>0</v>
      </c>
      <c r="G183" s="1">
        <f t="shared" si="64"/>
        <v>15.989419574094903</v>
      </c>
      <c r="H183" s="1">
        <f t="shared" si="65"/>
        <v>198.31130150672203</v>
      </c>
      <c r="I183" s="1">
        <f t="shared" si="66"/>
        <v>990.0915509907206</v>
      </c>
      <c r="J183" s="1">
        <f t="shared" si="67"/>
        <v>4.76087364419049</v>
      </c>
      <c r="K183" s="1">
        <f t="shared" si="68"/>
        <v>130.84724981504854</v>
      </c>
      <c r="L183" s="1">
        <f t="shared" si="69"/>
        <v>130.9338332976533</v>
      </c>
    </row>
    <row r="184" spans="1:12" ht="12.75">
      <c r="A184" s="1">
        <f t="shared" si="60"/>
        <v>9.099999999999994</v>
      </c>
      <c r="B184" s="1">
        <f t="shared" si="58"/>
        <v>16</v>
      </c>
      <c r="C184" s="1">
        <f t="shared" si="59"/>
        <v>0</v>
      </c>
      <c r="D184" s="1">
        <f t="shared" si="61"/>
        <v>0</v>
      </c>
      <c r="E184" s="1" t="e">
        <f t="shared" si="62"/>
        <v>#DIV/0!</v>
      </c>
      <c r="F184" s="1">
        <f t="shared" si="63"/>
        <v>0</v>
      </c>
      <c r="G184" s="1">
        <f t="shared" si="64"/>
        <v>15.98950709367792</v>
      </c>
      <c r="H184" s="1">
        <f t="shared" si="65"/>
        <v>198.66043224062935</v>
      </c>
      <c r="I184" s="1">
        <f t="shared" si="66"/>
        <v>999.7269895260928</v>
      </c>
      <c r="J184" s="1">
        <f t="shared" si="67"/>
        <v>4.76087364419049</v>
      </c>
      <c r="K184" s="1">
        <f t="shared" si="68"/>
        <v>131.39234366416542</v>
      </c>
      <c r="L184" s="1">
        <f t="shared" si="69"/>
        <v>131.47856818287192</v>
      </c>
    </row>
    <row r="185" spans="1:12" ht="12.75">
      <c r="A185" s="1">
        <f t="shared" si="60"/>
        <v>9.149999999999995</v>
      </c>
      <c r="B185" s="1">
        <f t="shared" si="58"/>
        <v>16</v>
      </c>
      <c r="C185" s="1">
        <f t="shared" si="59"/>
        <v>0</v>
      </c>
      <c r="D185" s="1">
        <f t="shared" si="61"/>
        <v>0</v>
      </c>
      <c r="E185" s="1" t="e">
        <f t="shared" si="62"/>
        <v>#DIV/0!</v>
      </c>
      <c r="F185" s="1">
        <f t="shared" si="63"/>
        <v>0</v>
      </c>
      <c r="G185" s="1">
        <f t="shared" si="64"/>
        <v>15.989593532633918</v>
      </c>
      <c r="H185" s="1">
        <f t="shared" si="65"/>
        <v>199.00956297453666</v>
      </c>
      <c r="I185" s="1">
        <f t="shared" si="66"/>
        <v>1009.4024018291991</v>
      </c>
      <c r="J185" s="1">
        <f t="shared" si="67"/>
        <v>4.76087364419049</v>
      </c>
      <c r="K185" s="1">
        <f t="shared" si="68"/>
        <v>131.93744049690446</v>
      </c>
      <c r="L185" s="1">
        <f t="shared" si="69"/>
        <v>132.0233090129548</v>
      </c>
    </row>
    <row r="186" spans="1:12" ht="12.75">
      <c r="A186" s="1">
        <f t="shared" si="60"/>
        <v>9.199999999999996</v>
      </c>
      <c r="B186" s="1">
        <f t="shared" si="58"/>
        <v>16</v>
      </c>
      <c r="C186" s="1">
        <f t="shared" si="59"/>
        <v>0</v>
      </c>
      <c r="D186" s="1">
        <f t="shared" si="61"/>
        <v>0</v>
      </c>
      <c r="E186" s="1" t="e">
        <f t="shared" si="62"/>
        <v>#DIV/0!</v>
      </c>
      <c r="F186" s="1">
        <f t="shared" si="63"/>
        <v>0</v>
      </c>
      <c r="G186" s="1">
        <f t="shared" si="64"/>
        <v>15.989678908666958</v>
      </c>
      <c r="H186" s="1">
        <f t="shared" si="65"/>
        <v>199.35869370844398</v>
      </c>
      <c r="I186" s="1">
        <f t="shared" si="66"/>
        <v>1019.117788116137</v>
      </c>
      <c r="J186" s="1">
        <f t="shared" si="67"/>
        <v>4.76087364419049</v>
      </c>
      <c r="K186" s="1">
        <f t="shared" si="68"/>
        <v>132.48254027642608</v>
      </c>
      <c r="L186" s="1">
        <f t="shared" si="69"/>
        <v>132.56805571460572</v>
      </c>
    </row>
    <row r="187" spans="1:12" ht="12.75">
      <c r="A187" s="1">
        <f t="shared" si="60"/>
        <v>9.249999999999996</v>
      </c>
      <c r="B187" s="1">
        <f t="shared" si="58"/>
        <v>16</v>
      </c>
      <c r="C187" s="1">
        <f t="shared" si="59"/>
        <v>0</v>
      </c>
      <c r="D187" s="1">
        <f t="shared" si="61"/>
        <v>0</v>
      </c>
      <c r="E187" s="1" t="e">
        <f t="shared" si="62"/>
        <v>#DIV/0!</v>
      </c>
      <c r="F187" s="1">
        <f t="shared" si="63"/>
        <v>0</v>
      </c>
      <c r="G187" s="1">
        <f t="shared" si="64"/>
        <v>15.9897632391203</v>
      </c>
      <c r="H187" s="1">
        <f t="shared" si="65"/>
        <v>199.7078244423513</v>
      </c>
      <c r="I187" s="1">
        <f t="shared" si="66"/>
        <v>1028.8731486003467</v>
      </c>
      <c r="J187" s="1">
        <f t="shared" si="67"/>
        <v>4.76087364419049</v>
      </c>
      <c r="K187" s="1">
        <f t="shared" si="68"/>
        <v>133.02764296649428</v>
      </c>
      <c r="L187" s="1">
        <f t="shared" si="69"/>
        <v>133.1128082157274</v>
      </c>
    </row>
    <row r="188" spans="1:12" ht="12.75">
      <c r="A188" s="1">
        <f t="shared" si="60"/>
        <v>9.299999999999997</v>
      </c>
      <c r="B188" s="1">
        <f t="shared" si="58"/>
        <v>16</v>
      </c>
      <c r="C188" s="1">
        <f t="shared" si="59"/>
        <v>0</v>
      </c>
      <c r="D188" s="1">
        <f t="shared" si="61"/>
        <v>0</v>
      </c>
      <c r="E188" s="1" t="e">
        <f t="shared" si="62"/>
        <v>#DIV/0!</v>
      </c>
      <c r="F188" s="1">
        <f t="shared" si="63"/>
        <v>0</v>
      </c>
      <c r="G188" s="1">
        <f t="shared" si="64"/>
        <v>15.989846540985171</v>
      </c>
      <c r="H188" s="1">
        <f t="shared" si="65"/>
        <v>200.0569551762586</v>
      </c>
      <c r="I188" s="1">
        <f t="shared" si="66"/>
        <v>1038.668483492654</v>
      </c>
      <c r="J188" s="1">
        <f t="shared" si="67"/>
        <v>4.76087364419049</v>
      </c>
      <c r="K188" s="1">
        <f t="shared" si="68"/>
        <v>133.5727485314643</v>
      </c>
      <c r="L188" s="1">
        <f t="shared" si="69"/>
        <v>133.65756644539712</v>
      </c>
    </row>
    <row r="189" spans="1:12" ht="12.75">
      <c r="A189" s="1">
        <f t="shared" si="60"/>
        <v>9.349999999999998</v>
      </c>
      <c r="B189" s="1">
        <f t="shared" si="58"/>
        <v>16</v>
      </c>
      <c r="C189" s="1">
        <f t="shared" si="59"/>
        <v>0</v>
      </c>
      <c r="D189" s="1">
        <f t="shared" si="61"/>
        <v>0</v>
      </c>
      <c r="E189" s="1" t="e">
        <f t="shared" si="62"/>
        <v>#DIV/0!</v>
      </c>
      <c r="F189" s="1">
        <f t="shared" si="63"/>
        <v>0</v>
      </c>
      <c r="G189" s="1">
        <f t="shared" si="64"/>
        <v>15.989928830909308</v>
      </c>
      <c r="H189" s="1">
        <f t="shared" si="65"/>
        <v>200.40608591016593</v>
      </c>
      <c r="I189" s="1">
        <f t="shared" si="66"/>
        <v>1048.5037930013139</v>
      </c>
      <c r="J189" s="1">
        <f t="shared" si="67"/>
        <v>4.76087364419049</v>
      </c>
      <c r="K189" s="1">
        <f t="shared" si="68"/>
        <v>134.1178569362706</v>
      </c>
      <c r="L189" s="1">
        <f t="shared" si="69"/>
        <v>134.20233033384292</v>
      </c>
    </row>
    <row r="190" spans="1:12" ht="12.75">
      <c r="A190" s="1">
        <f t="shared" si="60"/>
        <v>9.399999999999999</v>
      </c>
      <c r="B190" s="1">
        <f t="shared" si="58"/>
        <v>16</v>
      </c>
      <c r="C190" s="1">
        <f t="shared" si="59"/>
        <v>0</v>
      </c>
      <c r="D190" s="1">
        <f t="shared" si="61"/>
        <v>0</v>
      </c>
      <c r="E190" s="1" t="e">
        <f t="shared" si="62"/>
        <v>#DIV/0!</v>
      </c>
      <c r="F190" s="1">
        <f t="shared" si="63"/>
        <v>0</v>
      </c>
      <c r="G190" s="1">
        <f t="shared" si="64"/>
        <v>15.99001012520524</v>
      </c>
      <c r="H190" s="1">
        <f t="shared" si="65"/>
        <v>200.75521664407324</v>
      </c>
      <c r="I190" s="1">
        <f t="shared" si="66"/>
        <v>1058.3790773320509</v>
      </c>
      <c r="J190" s="1">
        <f t="shared" si="67"/>
        <v>4.76087364419049</v>
      </c>
      <c r="K190" s="1">
        <f t="shared" si="68"/>
        <v>134.66296814641524</v>
      </c>
      <c r="L190" s="1">
        <f t="shared" si="69"/>
        <v>134.74709981242043</v>
      </c>
    </row>
    <row r="191" spans="1:12" ht="12.75">
      <c r="A191" s="1">
        <f t="shared" si="60"/>
        <v>9.45</v>
      </c>
      <c r="B191" s="1">
        <f t="shared" si="58"/>
        <v>16</v>
      </c>
      <c r="C191" s="1">
        <f t="shared" si="59"/>
        <v>0</v>
      </c>
      <c r="D191" s="1">
        <f t="shared" si="61"/>
        <v>0</v>
      </c>
      <c r="E191" s="1" t="e">
        <f t="shared" si="62"/>
        <v>#DIV/0!</v>
      </c>
      <c r="F191" s="1">
        <f t="shared" si="63"/>
        <v>0</v>
      </c>
      <c r="G191" s="1">
        <f t="shared" si="64"/>
        <v>15.990090439858362</v>
      </c>
      <c r="H191" s="1">
        <f t="shared" si="65"/>
        <v>201.10434737798056</v>
      </c>
      <c r="I191" s="1">
        <f t="shared" si="66"/>
        <v>1068.294336688101</v>
      </c>
      <c r="J191" s="1">
        <f t="shared" si="67"/>
        <v>4.76087364419049</v>
      </c>
      <c r="K191" s="1">
        <f t="shared" si="68"/>
        <v>135.20808212795632</v>
      </c>
      <c r="L191" s="1">
        <f t="shared" si="69"/>
        <v>135.29187481359008</v>
      </c>
    </row>
    <row r="192" spans="1:12" ht="12.75">
      <c r="A192" s="1">
        <f t="shared" si="60"/>
        <v>9.5</v>
      </c>
      <c r="B192" s="1">
        <f t="shared" si="58"/>
        <v>16</v>
      </c>
      <c r="C192" s="1">
        <f t="shared" si="59"/>
        <v>0</v>
      </c>
      <c r="D192" s="1">
        <f t="shared" si="61"/>
        <v>0</v>
      </c>
      <c r="E192" s="1" t="e">
        <f t="shared" si="62"/>
        <v>#DIV/0!</v>
      </c>
      <c r="F192" s="1">
        <f t="shared" si="63"/>
        <v>0</v>
      </c>
      <c r="G192" s="1">
        <f t="shared" si="64"/>
        <v>15.99016979053476</v>
      </c>
      <c r="H192" s="1">
        <f t="shared" si="65"/>
        <v>201.45347811188788</v>
      </c>
      <c r="I192" s="1">
        <f t="shared" si="66"/>
        <v>1078.249571270251</v>
      </c>
      <c r="J192" s="1">
        <f t="shared" si="67"/>
        <v>4.76087364419049</v>
      </c>
      <c r="K192" s="1">
        <f t="shared" si="68"/>
        <v>135.75319884749695</v>
      </c>
      <c r="L192" s="1">
        <f t="shared" si="69"/>
        <v>135.8366552708951</v>
      </c>
    </row>
    <row r="193" spans="1:12" ht="12.75">
      <c r="A193" s="1">
        <f t="shared" si="60"/>
        <v>9.55</v>
      </c>
      <c r="B193" s="1">
        <f t="shared" si="58"/>
        <v>16</v>
      </c>
      <c r="C193" s="1">
        <f t="shared" si="59"/>
        <v>0</v>
      </c>
      <c r="D193" s="1">
        <f t="shared" si="61"/>
        <v>0</v>
      </c>
      <c r="E193" s="1" t="e">
        <f t="shared" si="62"/>
        <v>#DIV/0!</v>
      </c>
      <c r="F193" s="1">
        <f t="shared" si="63"/>
        <v>0</v>
      </c>
      <c r="G193" s="1">
        <f t="shared" si="64"/>
        <v>15.99024819258883</v>
      </c>
      <c r="H193" s="1">
        <f t="shared" si="65"/>
        <v>201.8026088457952</v>
      </c>
      <c r="I193" s="1">
        <f t="shared" si="66"/>
        <v>1088.2447812768771</v>
      </c>
      <c r="J193" s="1">
        <f t="shared" si="67"/>
        <v>4.76087364419049</v>
      </c>
      <c r="K193" s="1">
        <f t="shared" si="68"/>
        <v>136.29831827217427</v>
      </c>
      <c r="L193" s="1">
        <f t="shared" si="69"/>
        <v>136.38144111893988</v>
      </c>
    </row>
    <row r="194" spans="1:12" ht="12.75">
      <c r="A194" s="1">
        <f t="shared" si="60"/>
        <v>9.600000000000001</v>
      </c>
      <c r="B194" s="1">
        <f t="shared" si="58"/>
        <v>16</v>
      </c>
      <c r="C194" s="1">
        <f t="shared" si="59"/>
        <v>0</v>
      </c>
      <c r="D194" s="1">
        <f t="shared" si="61"/>
        <v>0</v>
      </c>
      <c r="E194" s="1" t="e">
        <f t="shared" si="62"/>
        <v>#DIV/0!</v>
      </c>
      <c r="F194" s="1">
        <f t="shared" si="63"/>
        <v>0</v>
      </c>
      <c r="G194" s="1">
        <f t="shared" si="64"/>
        <v>15.990325661070695</v>
      </c>
      <c r="H194" s="1">
        <f t="shared" si="65"/>
        <v>202.1517395797025</v>
      </c>
      <c r="I194" s="1">
        <f t="shared" si="66"/>
        <v>1098.2799669039848</v>
      </c>
      <c r="J194" s="1">
        <f t="shared" si="67"/>
        <v>4.76087364419049</v>
      </c>
      <c r="K194" s="1">
        <f t="shared" si="68"/>
        <v>136.8434403696489</v>
      </c>
      <c r="L194" s="1">
        <f t="shared" si="69"/>
        <v>136.92623229336883</v>
      </c>
    </row>
    <row r="195" spans="1:12" ht="12.75">
      <c r="A195" s="1">
        <f t="shared" si="60"/>
        <v>9.650000000000002</v>
      </c>
      <c r="B195" s="1">
        <f aca="true" t="shared" si="70" ref="B195:B221">amax*MIN(1,(A195/k))</f>
        <v>16</v>
      </c>
      <c r="C195" s="1">
        <f aca="true" t="shared" si="71" ref="C195:C221">g*SQRT(1-B195*B195/(amax*amax))</f>
        <v>0</v>
      </c>
      <c r="D195" s="1">
        <f t="shared" si="61"/>
        <v>0</v>
      </c>
      <c r="E195" s="1" t="e">
        <f t="shared" si="62"/>
        <v>#DIV/0!</v>
      </c>
      <c r="F195" s="1">
        <f t="shared" si="63"/>
        <v>0</v>
      </c>
      <c r="G195" s="1">
        <f t="shared" si="64"/>
        <v>15.990402210733388</v>
      </c>
      <c r="H195" s="1">
        <f t="shared" si="65"/>
        <v>202.50087031360982</v>
      </c>
      <c r="I195" s="1">
        <f t="shared" si="66"/>
        <v>1108.355128345245</v>
      </c>
      <c r="J195" s="1">
        <f t="shared" si="67"/>
        <v>4.76087364419049</v>
      </c>
      <c r="K195" s="1">
        <f t="shared" si="68"/>
        <v>137.3885651080945</v>
      </c>
      <c r="L195" s="1">
        <f t="shared" si="69"/>
        <v>137.47102873084594</v>
      </c>
    </row>
    <row r="196" spans="1:12" ht="12.75">
      <c r="A196" s="1">
        <f t="shared" si="60"/>
        <v>9.700000000000003</v>
      </c>
      <c r="B196" s="1">
        <f t="shared" si="70"/>
        <v>16</v>
      </c>
      <c r="C196" s="1">
        <f t="shared" si="71"/>
        <v>0</v>
      </c>
      <c r="D196" s="1">
        <f t="shared" si="61"/>
        <v>0</v>
      </c>
      <c r="E196" s="1" t="e">
        <f t="shared" si="62"/>
        <v>#DIV/0!</v>
      </c>
      <c r="F196" s="1">
        <f t="shared" si="63"/>
        <v>0</v>
      </c>
      <c r="G196" s="1">
        <f t="shared" si="64"/>
        <v>15.990477856039877</v>
      </c>
      <c r="H196" s="1">
        <f t="shared" si="65"/>
        <v>202.85000104751714</v>
      </c>
      <c r="I196" s="1">
        <f t="shared" si="66"/>
        <v>1118.470265792032</v>
      </c>
      <c r="J196" s="1">
        <f t="shared" si="67"/>
        <v>4.76087364419049</v>
      </c>
      <c r="K196" s="1">
        <f t="shared" si="68"/>
        <v>137.93369245618769</v>
      </c>
      <c r="L196" s="1">
        <f t="shared" si="69"/>
        <v>138.01583036903455</v>
      </c>
    </row>
    <row r="197" spans="1:12" ht="12.75">
      <c r="A197" s="1">
        <f t="shared" si="60"/>
        <v>9.750000000000004</v>
      </c>
      <c r="B197" s="1">
        <f t="shared" si="70"/>
        <v>16</v>
      </c>
      <c r="C197" s="1">
        <f t="shared" si="71"/>
        <v>0</v>
      </c>
      <c r="D197" s="1">
        <f t="shared" si="61"/>
        <v>0</v>
      </c>
      <c r="E197" s="1" t="e">
        <f t="shared" si="62"/>
        <v>#DIV/0!</v>
      </c>
      <c r="F197" s="1">
        <f t="shared" si="63"/>
        <v>0</v>
      </c>
      <c r="G197" s="1">
        <f t="shared" si="64"/>
        <v>15.990552611169868</v>
      </c>
      <c r="H197" s="1">
        <f t="shared" si="65"/>
        <v>203.19913178142446</v>
      </c>
      <c r="I197" s="1">
        <f t="shared" si="66"/>
        <v>1128.6253794334593</v>
      </c>
      <c r="J197" s="1">
        <f t="shared" si="67"/>
        <v>4.76087364419049</v>
      </c>
      <c r="K197" s="1">
        <f t="shared" si="68"/>
        <v>138.47882238309813</v>
      </c>
      <c r="L197" s="1">
        <f t="shared" si="69"/>
        <v>138.5606371465778</v>
      </c>
    </row>
    <row r="198" spans="1:12" ht="12.75">
      <c r="A198" s="1">
        <f t="shared" si="60"/>
        <v>9.800000000000004</v>
      </c>
      <c r="B198" s="1">
        <f t="shared" si="70"/>
        <v>16</v>
      </c>
      <c r="C198" s="1">
        <f t="shared" si="71"/>
        <v>0</v>
      </c>
      <c r="D198" s="1">
        <f t="shared" si="61"/>
        <v>0</v>
      </c>
      <c r="E198" s="1" t="e">
        <f t="shared" si="62"/>
        <v>#DIV/0!</v>
      </c>
      <c r="F198" s="1">
        <f t="shared" si="63"/>
        <v>0</v>
      </c>
      <c r="G198" s="1">
        <f t="shared" si="64"/>
        <v>15.990626490026429</v>
      </c>
      <c r="H198" s="1">
        <f t="shared" si="65"/>
        <v>203.54826251533177</v>
      </c>
      <c r="I198" s="1">
        <f t="shared" si="66"/>
        <v>1138.8204694564145</v>
      </c>
      <c r="J198" s="1">
        <f t="shared" si="67"/>
        <v>4.76087364419049</v>
      </c>
      <c r="K198" s="1">
        <f t="shared" si="68"/>
        <v>139.02395485847893</v>
      </c>
      <c r="L198" s="1">
        <f t="shared" si="69"/>
        <v>139.10544900307946</v>
      </c>
    </row>
    <row r="199" spans="1:12" ht="12.75">
      <c r="A199" s="1">
        <f t="shared" si="60"/>
        <v>9.850000000000005</v>
      </c>
      <c r="B199" s="1">
        <f t="shared" si="70"/>
        <v>16</v>
      </c>
      <c r="C199" s="1">
        <f t="shared" si="71"/>
        <v>0</v>
      </c>
      <c r="D199" s="1">
        <f t="shared" si="61"/>
        <v>0</v>
      </c>
      <c r="E199" s="1" t="e">
        <f t="shared" si="62"/>
        <v>#DIV/0!</v>
      </c>
      <c r="F199" s="1">
        <f t="shared" si="63"/>
        <v>0</v>
      </c>
      <c r="G199" s="1">
        <f t="shared" si="64"/>
        <v>15.99069950624244</v>
      </c>
      <c r="H199" s="1">
        <f t="shared" si="65"/>
        <v>203.8973932492391</v>
      </c>
      <c r="I199" s="1">
        <f t="shared" si="66"/>
        <v>1149.0555360455946</v>
      </c>
      <c r="J199" s="1">
        <f t="shared" si="67"/>
        <v>4.76087364419049</v>
      </c>
      <c r="K199" s="1">
        <f t="shared" si="68"/>
        <v>139.5690898524571</v>
      </c>
      <c r="L199" s="1">
        <f t="shared" si="69"/>
        <v>139.65026587908523</v>
      </c>
    </row>
    <row r="200" spans="1:12" ht="12.75">
      <c r="A200" s="1">
        <f t="shared" si="60"/>
        <v>9.900000000000006</v>
      </c>
      <c r="B200" s="1">
        <f t="shared" si="70"/>
        <v>16</v>
      </c>
      <c r="C200" s="1">
        <f t="shared" si="71"/>
        <v>0</v>
      </c>
      <c r="D200" s="1">
        <f t="shared" si="61"/>
        <v>0</v>
      </c>
      <c r="E200" s="1" t="e">
        <f t="shared" si="62"/>
        <v>#DIV/0!</v>
      </c>
      <c r="F200" s="1">
        <f t="shared" si="63"/>
        <v>0</v>
      </c>
      <c r="G200" s="1">
        <f t="shared" si="64"/>
        <v>15.990771673186867</v>
      </c>
      <c r="H200" s="1">
        <f t="shared" si="65"/>
        <v>204.2465239831464</v>
      </c>
      <c r="I200" s="1">
        <f t="shared" si="66"/>
        <v>1159.3305793835405</v>
      </c>
      <c r="J200" s="1">
        <f t="shared" si="67"/>
        <v>4.76087364419049</v>
      </c>
      <c r="K200" s="1">
        <f t="shared" si="68"/>
        <v>140.11422733562446</v>
      </c>
      <c r="L200" s="1">
        <f t="shared" si="69"/>
        <v>140.19508771606445</v>
      </c>
    </row>
    <row r="201" spans="1:12" ht="12.75">
      <c r="A201" s="1">
        <f t="shared" si="60"/>
        <v>9.950000000000006</v>
      </c>
      <c r="B201" s="1">
        <f t="shared" si="70"/>
        <v>16</v>
      </c>
      <c r="C201" s="1">
        <f t="shared" si="71"/>
        <v>0</v>
      </c>
      <c r="D201" s="1">
        <f t="shared" si="61"/>
        <v>0</v>
      </c>
      <c r="E201" s="1" t="e">
        <f t="shared" si="62"/>
        <v>#DIV/0!</v>
      </c>
      <c r="F201" s="1">
        <f t="shared" si="63"/>
        <v>0</v>
      </c>
      <c r="G201" s="1">
        <f t="shared" si="64"/>
        <v>15.990843003970861</v>
      </c>
      <c r="H201" s="1">
        <f t="shared" si="65"/>
        <v>204.59565471705372</v>
      </c>
      <c r="I201" s="1">
        <f t="shared" si="66"/>
        <v>1169.6455996506693</v>
      </c>
      <c r="J201" s="1">
        <f t="shared" si="67"/>
        <v>4.76087364419049</v>
      </c>
      <c r="K201" s="1">
        <f t="shared" si="68"/>
        <v>140.65936727902857</v>
      </c>
      <c r="L201" s="1">
        <f t="shared" si="69"/>
        <v>140.73991445639223</v>
      </c>
    </row>
    <row r="202" spans="1:12" ht="12.75">
      <c r="A202" s="1">
        <f t="shared" si="60"/>
        <v>10.000000000000007</v>
      </c>
      <c r="B202" s="1">
        <f t="shared" si="70"/>
        <v>16</v>
      </c>
      <c r="C202" s="1">
        <f t="shared" si="71"/>
        <v>0</v>
      </c>
      <c r="D202" s="1">
        <f t="shared" si="61"/>
        <v>0</v>
      </c>
      <c r="E202" s="1" t="e">
        <f t="shared" si="62"/>
        <v>#DIV/0!</v>
      </c>
      <c r="F202" s="1">
        <f t="shared" si="63"/>
        <v>0</v>
      </c>
      <c r="G202" s="1">
        <f t="shared" si="64"/>
        <v>15.9909135114537</v>
      </c>
      <c r="H202" s="1">
        <f t="shared" si="65"/>
        <v>204.94478545096104</v>
      </c>
      <c r="I202" s="1">
        <f t="shared" si="66"/>
        <v>1180.000597025308</v>
      </c>
      <c r="J202" s="1">
        <f t="shared" si="67"/>
        <v>4.76087364419049</v>
      </c>
      <c r="K202" s="1">
        <f t="shared" si="68"/>
        <v>141.20450965416396</v>
      </c>
      <c r="L202" s="1">
        <f t="shared" si="69"/>
        <v>141.28474604333206</v>
      </c>
    </row>
    <row r="203" spans="1:12" ht="12.75">
      <c r="A203" s="1">
        <f t="shared" si="60"/>
        <v>10.050000000000008</v>
      </c>
      <c r="B203" s="1">
        <f t="shared" si="70"/>
        <v>16</v>
      </c>
      <c r="C203" s="1">
        <f t="shared" si="71"/>
        <v>0</v>
      </c>
      <c r="D203" s="1">
        <f t="shared" si="61"/>
        <v>0</v>
      </c>
      <c r="E203" s="1" t="e">
        <f t="shared" si="62"/>
        <v>#DIV/0!</v>
      </c>
      <c r="F203" s="1">
        <f t="shared" si="63"/>
        <v>0</v>
      </c>
      <c r="G203" s="1">
        <f t="shared" si="64"/>
        <v>15.990983208248576</v>
      </c>
      <c r="H203" s="1">
        <f t="shared" si="65"/>
        <v>205.29391618486835</v>
      </c>
      <c r="I203" s="1">
        <f t="shared" si="66"/>
        <v>1190.3955716837254</v>
      </c>
      <c r="J203" s="1">
        <f t="shared" si="67"/>
        <v>4.76087364419049</v>
      </c>
      <c r="K203" s="1">
        <f t="shared" si="68"/>
        <v>141.74965443296352</v>
      </c>
      <c r="L203" s="1">
        <f t="shared" si="69"/>
        <v>141.82958242101864</v>
      </c>
    </row>
    <row r="204" spans="1:12" ht="12.75">
      <c r="A204" s="1">
        <f t="shared" si="60"/>
        <v>10.100000000000009</v>
      </c>
      <c r="B204" s="1">
        <f t="shared" si="70"/>
        <v>16</v>
      </c>
      <c r="C204" s="1">
        <f t="shared" si="71"/>
        <v>0</v>
      </c>
      <c r="D204" s="1">
        <f t="shared" si="61"/>
        <v>0</v>
      </c>
      <c r="E204" s="1" t="e">
        <f t="shared" si="62"/>
        <v>#DIV/0!</v>
      </c>
      <c r="F204" s="1">
        <f t="shared" si="63"/>
        <v>0</v>
      </c>
      <c r="G204" s="1">
        <f t="shared" si="64"/>
        <v>15.991052106728198</v>
      </c>
      <c r="H204" s="1">
        <f t="shared" si="65"/>
        <v>205.64304691877567</v>
      </c>
      <c r="I204" s="1">
        <f t="shared" si="66"/>
        <v>1200.8305238001633</v>
      </c>
      <c r="J204" s="1">
        <f t="shared" si="67"/>
        <v>4.76087364419049</v>
      </c>
      <c r="K204" s="1">
        <f t="shared" si="68"/>
        <v>142.29480158779018</v>
      </c>
      <c r="L204" s="1">
        <f t="shared" si="69"/>
        <v>142.37442353444146</v>
      </c>
    </row>
    <row r="205" spans="1:12" ht="12.75">
      <c r="A205" s="1">
        <f t="shared" si="60"/>
        <v>10.15000000000001</v>
      </c>
      <c r="B205" s="1">
        <f t="shared" si="70"/>
        <v>16</v>
      </c>
      <c r="C205" s="1">
        <f t="shared" si="71"/>
        <v>0</v>
      </c>
      <c r="D205" s="1">
        <f t="shared" si="61"/>
        <v>0</v>
      </c>
      <c r="E205" s="1" t="e">
        <f t="shared" si="62"/>
        <v>#DIV/0!</v>
      </c>
      <c r="F205" s="1">
        <f t="shared" si="63"/>
        <v>0</v>
      </c>
      <c r="G205" s="1">
        <f t="shared" si="64"/>
        <v>15.991120219030298</v>
      </c>
      <c r="H205" s="1">
        <f t="shared" si="65"/>
        <v>205.99217765268298</v>
      </c>
      <c r="I205" s="1">
        <f t="shared" si="66"/>
        <v>1211.305453546868</v>
      </c>
      <c r="J205" s="1">
        <f t="shared" si="67"/>
        <v>4.76087364419049</v>
      </c>
      <c r="K205" s="1">
        <f t="shared" si="68"/>
        <v>142.83995109142865</v>
      </c>
      <c r="L205" s="1">
        <f t="shared" si="69"/>
        <v>142.91926932942835</v>
      </c>
    </row>
    <row r="206" spans="1:12" ht="12.75">
      <c r="A206" s="1">
        <f t="shared" si="60"/>
        <v>10.20000000000001</v>
      </c>
      <c r="B206" s="1">
        <f t="shared" si="70"/>
        <v>16</v>
      </c>
      <c r="C206" s="1">
        <f t="shared" si="71"/>
        <v>0</v>
      </c>
      <c r="D206" s="1">
        <f t="shared" si="61"/>
        <v>0</v>
      </c>
      <c r="E206" s="1" t="e">
        <f t="shared" si="62"/>
        <v>#DIV/0!</v>
      </c>
      <c r="F206" s="1">
        <f t="shared" si="63"/>
        <v>0</v>
      </c>
      <c r="G206" s="1">
        <f t="shared" si="64"/>
        <v>15.99118755706295</v>
      </c>
      <c r="H206" s="1">
        <f t="shared" si="65"/>
        <v>206.3413083865903</v>
      </c>
      <c r="I206" s="1">
        <f t="shared" si="66"/>
        <v>1221.8203610941202</v>
      </c>
      <c r="J206" s="1">
        <f t="shared" si="67"/>
        <v>4.76087364419049</v>
      </c>
      <c r="K206" s="1">
        <f t="shared" si="68"/>
        <v>143.3851029170774</v>
      </c>
      <c r="L206" s="1">
        <f t="shared" si="69"/>
        <v>143.46411975262953</v>
      </c>
    </row>
    <row r="207" spans="1:12" ht="12.75">
      <c r="A207" s="1">
        <f t="shared" si="60"/>
        <v>10.25000000000001</v>
      </c>
      <c r="B207" s="1">
        <f t="shared" si="70"/>
        <v>16</v>
      </c>
      <c r="C207" s="1">
        <f t="shared" si="71"/>
        <v>0</v>
      </c>
      <c r="D207" s="1">
        <f t="shared" si="61"/>
        <v>0</v>
      </c>
      <c r="E207" s="1" t="e">
        <f t="shared" si="62"/>
        <v>#DIV/0!</v>
      </c>
      <c r="F207" s="1">
        <f t="shared" si="63"/>
        <v>0</v>
      </c>
      <c r="G207" s="1">
        <f t="shared" si="64"/>
        <v>15.991254132509756</v>
      </c>
      <c r="H207" s="1">
        <f t="shared" si="65"/>
        <v>206.69043912049762</v>
      </c>
      <c r="I207" s="1">
        <f t="shared" si="66"/>
        <v>1232.3752466102653</v>
      </c>
      <c r="J207" s="1">
        <f t="shared" si="67"/>
        <v>4.76087364419049</v>
      </c>
      <c r="K207" s="1">
        <f t="shared" si="68"/>
        <v>143.93025703834093</v>
      </c>
      <c r="L207" s="1">
        <f t="shared" si="69"/>
        <v>144.00897475150234</v>
      </c>
    </row>
    <row r="208" spans="1:12" ht="12.75">
      <c r="A208" s="1">
        <f t="shared" si="60"/>
        <v>10.300000000000011</v>
      </c>
      <c r="B208" s="1">
        <f t="shared" si="70"/>
        <v>16</v>
      </c>
      <c r="C208" s="1">
        <f t="shared" si="71"/>
        <v>0</v>
      </c>
      <c r="D208" s="1">
        <f t="shared" si="61"/>
        <v>0</v>
      </c>
      <c r="E208" s="1" t="e">
        <f t="shared" si="62"/>
        <v>#DIV/0!</v>
      </c>
      <c r="F208" s="1">
        <f t="shared" si="63"/>
        <v>0</v>
      </c>
      <c r="G208" s="1">
        <f t="shared" si="64"/>
        <v>15.991319956834905</v>
      </c>
      <c r="H208" s="1">
        <f t="shared" si="65"/>
        <v>207.03956985440493</v>
      </c>
      <c r="I208" s="1">
        <f t="shared" si="66"/>
        <v>1242.9701102617416</v>
      </c>
      <c r="J208" s="1">
        <f t="shared" si="67"/>
        <v>4.76087364419049</v>
      </c>
      <c r="K208" s="1">
        <f t="shared" si="68"/>
        <v>144.47541342922193</v>
      </c>
      <c r="L208" s="1">
        <f t="shared" si="69"/>
        <v>144.55383427429572</v>
      </c>
    </row>
    <row r="209" spans="1:12" ht="12.75">
      <c r="A209" s="1">
        <f t="shared" si="60"/>
        <v>10.350000000000012</v>
      </c>
      <c r="B209" s="1">
        <f t="shared" si="70"/>
        <v>16</v>
      </c>
      <c r="C209" s="1">
        <f t="shared" si="71"/>
        <v>0</v>
      </c>
      <c r="D209" s="1">
        <f t="shared" si="61"/>
        <v>0</v>
      </c>
      <c r="E209" s="1" t="e">
        <f t="shared" si="62"/>
        <v>#DIV/0!</v>
      </c>
      <c r="F209" s="1">
        <f t="shared" si="63"/>
        <v>0</v>
      </c>
      <c r="G209" s="1">
        <f t="shared" si="64"/>
        <v>15.991385041288108</v>
      </c>
      <c r="H209" s="1">
        <f t="shared" si="65"/>
        <v>207.38870058831225</v>
      </c>
      <c r="I209" s="1">
        <f t="shared" si="66"/>
        <v>1253.60495221311</v>
      </c>
      <c r="J209" s="1">
        <f t="shared" si="67"/>
        <v>4.76087364419049</v>
      </c>
      <c r="K209" s="1">
        <f t="shared" si="68"/>
        <v>145.02057206411402</v>
      </c>
      <c r="L209" s="1">
        <f t="shared" si="69"/>
        <v>145.0986982700356</v>
      </c>
    </row>
    <row r="210" spans="1:12" ht="12.75">
      <c r="A210" s="1">
        <f t="shared" si="60"/>
        <v>10.400000000000013</v>
      </c>
      <c r="B210" s="1">
        <f t="shared" si="70"/>
        <v>16</v>
      </c>
      <c r="C210" s="1">
        <f t="shared" si="71"/>
        <v>0</v>
      </c>
      <c r="D210" s="1">
        <f t="shared" si="61"/>
        <v>0</v>
      </c>
      <c r="E210" s="1" t="e">
        <f t="shared" si="62"/>
        <v>#DIV/0!</v>
      </c>
      <c r="F210" s="1">
        <f t="shared" si="63"/>
        <v>0</v>
      </c>
      <c r="G210" s="1">
        <f t="shared" si="64"/>
        <v>15.99144939690937</v>
      </c>
      <c r="H210" s="1">
        <f t="shared" si="65"/>
        <v>207.73783132221956</v>
      </c>
      <c r="I210" s="1">
        <f t="shared" si="66"/>
        <v>1264.2797726270815</v>
      </c>
      <c r="J210" s="1">
        <f t="shared" si="67"/>
        <v>4.76087364419049</v>
      </c>
      <c r="K210" s="1">
        <f t="shared" si="68"/>
        <v>145.5657329177943</v>
      </c>
      <c r="L210" s="1">
        <f t="shared" si="69"/>
        <v>145.64356668851036</v>
      </c>
    </row>
    <row r="211" spans="1:12" ht="12.75">
      <c r="A211" s="1">
        <f t="shared" si="60"/>
        <v>10.450000000000014</v>
      </c>
      <c r="B211" s="1">
        <f t="shared" si="70"/>
        <v>16</v>
      </c>
      <c r="C211" s="1">
        <f t="shared" si="71"/>
        <v>0</v>
      </c>
      <c r="D211" s="1">
        <f t="shared" si="61"/>
        <v>0</v>
      </c>
      <c r="E211" s="1" t="e">
        <f t="shared" si="62"/>
        <v>#DIV/0!</v>
      </c>
      <c r="F211" s="1">
        <f t="shared" si="63"/>
        <v>0</v>
      </c>
      <c r="G211" s="1">
        <f t="shared" si="64"/>
        <v>15.991513034533673</v>
      </c>
      <c r="H211" s="1">
        <f t="shared" si="65"/>
        <v>208.08696205612688</v>
      </c>
      <c r="I211" s="1">
        <f t="shared" si="66"/>
        <v>1274.9945716645452</v>
      </c>
      <c r="J211" s="1">
        <f t="shared" si="67"/>
        <v>4.76087364419049</v>
      </c>
      <c r="K211" s="1">
        <f t="shared" si="68"/>
        <v>146.1108959654162</v>
      </c>
      <c r="L211" s="1">
        <f t="shared" si="69"/>
        <v>146.18843948025653</v>
      </c>
    </row>
    <row r="212" spans="1:12" ht="12.75">
      <c r="A212" s="1">
        <f t="shared" si="60"/>
        <v>10.500000000000014</v>
      </c>
      <c r="B212" s="1">
        <f t="shared" si="70"/>
        <v>16</v>
      </c>
      <c r="C212" s="1">
        <f t="shared" si="71"/>
        <v>0</v>
      </c>
      <c r="D212" s="1">
        <f t="shared" si="61"/>
        <v>0</v>
      </c>
      <c r="E212" s="1" t="e">
        <f t="shared" si="62"/>
        <v>#DIV/0!</v>
      </c>
      <c r="F212" s="1">
        <f t="shared" si="63"/>
        <v>0</v>
      </c>
      <c r="G212" s="1">
        <f t="shared" si="64"/>
        <v>15.991575964795532</v>
      </c>
      <c r="H212" s="1">
        <f t="shared" si="65"/>
        <v>208.4360927900342</v>
      </c>
      <c r="I212" s="1">
        <f t="shared" si="66"/>
        <v>1285.7493494845953</v>
      </c>
      <c r="J212" s="1">
        <f t="shared" si="67"/>
        <v>4.76087364419049</v>
      </c>
      <c r="K212" s="1">
        <f t="shared" si="68"/>
        <v>146.65606118250258</v>
      </c>
      <c r="L212" s="1">
        <f t="shared" si="69"/>
        <v>146.73331659654494</v>
      </c>
    </row>
    <row r="213" spans="1:12" ht="12.75">
      <c r="A213" s="1">
        <f t="shared" si="60"/>
        <v>10.550000000000015</v>
      </c>
      <c r="B213" s="1">
        <f t="shared" si="70"/>
        <v>16</v>
      </c>
      <c r="C213" s="1">
        <f t="shared" si="71"/>
        <v>0</v>
      </c>
      <c r="D213" s="1">
        <f t="shared" si="61"/>
        <v>0</v>
      </c>
      <c r="E213" s="1" t="e">
        <f t="shared" si="62"/>
        <v>#DIV/0!</v>
      </c>
      <c r="F213" s="1">
        <f t="shared" si="63"/>
        <v>0</v>
      </c>
      <c r="G213" s="1">
        <f t="shared" si="64"/>
        <v>15.991638198133414</v>
      </c>
      <c r="H213" s="1">
        <f t="shared" si="65"/>
        <v>208.7852235239415</v>
      </c>
      <c r="I213" s="1">
        <f t="shared" si="66"/>
        <v>1296.5441062445575</v>
      </c>
      <c r="J213" s="1">
        <f t="shared" si="67"/>
        <v>4.76087364419049</v>
      </c>
      <c r="K213" s="1">
        <f t="shared" si="68"/>
        <v>147.2012285449388</v>
      </c>
      <c r="L213" s="1">
        <f t="shared" si="69"/>
        <v>147.27819798936724</v>
      </c>
    </row>
    <row r="214" spans="1:12" ht="12.75">
      <c r="A214" s="1">
        <f aca="true" t="shared" si="72" ref="A214:A221">A213+deltat</f>
        <v>10.600000000000016</v>
      </c>
      <c r="B214" s="1">
        <f t="shared" si="70"/>
        <v>16</v>
      </c>
      <c r="C214" s="1">
        <f t="shared" si="71"/>
        <v>0</v>
      </c>
      <c r="D214" s="1">
        <f aca="true" t="shared" si="73" ref="D214:D221">MAX(0,MIN(C214,g*(1-A214/k_unwind)))</f>
        <v>0</v>
      </c>
      <c r="E214" s="1" t="e">
        <f aca="true" t="shared" si="74" ref="E214:E221">(L214*L214*22*22/(15*15))/D214</f>
        <v>#DIV/0!</v>
      </c>
      <c r="F214" s="1">
        <f aca="true" t="shared" si="75" ref="F214:F221">MIN(0,B214*J214/L214-D214*K214/L214)</f>
        <v>0</v>
      </c>
      <c r="G214" s="1">
        <f aca="true" t="shared" si="76" ref="G214:G221">MAX(0,B214*K214/L214+D214*J214/L214)</f>
        <v>15.991699744794063</v>
      </c>
      <c r="H214" s="1">
        <f aca="true" t="shared" si="77" ref="H214:I221">H213+J214*deltat*22/15</f>
        <v>209.13435425784883</v>
      </c>
      <c r="I214" s="1">
        <f t="shared" si="77"/>
        <v>1307.378842100015</v>
      </c>
      <c r="J214" s="1">
        <f aca="true" t="shared" si="78" ref="J214:J221">MAX(0,J213+F213*deltat*15/22)</f>
        <v>4.76087364419049</v>
      </c>
      <c r="K214" s="1">
        <f aca="true" t="shared" si="79" ref="K214:K221">K213+G213*deltat*15/22</f>
        <v>147.74639802896607</v>
      </c>
      <c r="L214" s="1">
        <f aca="true" t="shared" si="80" ref="L214:L221">SQRT(K214*K214+J214*J214)</f>
        <v>147.82308361142253</v>
      </c>
    </row>
    <row r="215" spans="1:12" ht="12.75">
      <c r="A215" s="1">
        <f t="shared" si="72"/>
        <v>10.650000000000016</v>
      </c>
      <c r="B215" s="1">
        <f t="shared" si="70"/>
        <v>16</v>
      </c>
      <c r="C215" s="1">
        <f t="shared" si="71"/>
        <v>0</v>
      </c>
      <c r="D215" s="1">
        <f t="shared" si="73"/>
        <v>0</v>
      </c>
      <c r="E215" s="1" t="e">
        <f t="shared" si="74"/>
        <v>#DIV/0!</v>
      </c>
      <c r="F215" s="1">
        <f t="shared" si="75"/>
        <v>0</v>
      </c>
      <c r="G215" s="1">
        <f t="shared" si="76"/>
        <v>15.991760614836705</v>
      </c>
      <c r="H215" s="1">
        <f t="shared" si="77"/>
        <v>209.48348499175614</v>
      </c>
      <c r="I215" s="1">
        <f t="shared" si="77"/>
        <v>1318.2535572048344</v>
      </c>
      <c r="J215" s="1">
        <f t="shared" si="78"/>
        <v>4.76087364419049</v>
      </c>
      <c r="K215" s="1">
        <f t="shared" si="79"/>
        <v>148.29156961117496</v>
      </c>
      <c r="L215" s="1">
        <f t="shared" si="80"/>
        <v>148.36797341610452</v>
      </c>
    </row>
    <row r="216" spans="1:12" ht="12.75">
      <c r="A216" s="1">
        <f t="shared" si="72"/>
        <v>10.700000000000017</v>
      </c>
      <c r="B216" s="1">
        <f t="shared" si="70"/>
        <v>16</v>
      </c>
      <c r="C216" s="1">
        <f t="shared" si="71"/>
        <v>0</v>
      </c>
      <c r="D216" s="1">
        <f t="shared" si="73"/>
        <v>0</v>
      </c>
      <c r="E216" s="1" t="e">
        <f t="shared" si="74"/>
        <v>#DIV/0!</v>
      </c>
      <c r="F216" s="1">
        <f t="shared" si="75"/>
        <v>0</v>
      </c>
      <c r="G216" s="1">
        <f t="shared" si="76"/>
        <v>15.991820818137148</v>
      </c>
      <c r="H216" s="1">
        <f t="shared" si="77"/>
        <v>209.83261572566346</v>
      </c>
      <c r="I216" s="1">
        <f t="shared" si="77"/>
        <v>1329.168251711191</v>
      </c>
      <c r="J216" s="1">
        <f t="shared" si="78"/>
        <v>4.76087364419049</v>
      </c>
      <c r="K216" s="1">
        <f t="shared" si="79"/>
        <v>148.83674326849894</v>
      </c>
      <c r="L216" s="1">
        <f t="shared" si="80"/>
        <v>148.91286735748866</v>
      </c>
    </row>
    <row r="217" spans="1:12" ht="12.75">
      <c r="A217" s="1">
        <f t="shared" si="72"/>
        <v>10.750000000000018</v>
      </c>
      <c r="B217" s="1">
        <f t="shared" si="70"/>
        <v>16</v>
      </c>
      <c r="C217" s="1">
        <f t="shared" si="71"/>
        <v>0</v>
      </c>
      <c r="D217" s="1">
        <f t="shared" si="73"/>
        <v>0</v>
      </c>
      <c r="E217" s="1" t="e">
        <f t="shared" si="74"/>
        <v>#DIV/0!</v>
      </c>
      <c r="F217" s="1">
        <f t="shared" si="75"/>
        <v>0</v>
      </c>
      <c r="G217" s="1">
        <f t="shared" si="76"/>
        <v>15.991880364391786</v>
      </c>
      <c r="H217" s="1">
        <f t="shared" si="77"/>
        <v>210.18174645957077</v>
      </c>
      <c r="I217" s="1">
        <f t="shared" si="77"/>
        <v>1340.122925769593</v>
      </c>
      <c r="J217" s="1">
        <f t="shared" si="78"/>
        <v>4.76087364419049</v>
      </c>
      <c r="K217" s="1">
        <f t="shared" si="79"/>
        <v>149.38191897820815</v>
      </c>
      <c r="L217" s="1">
        <f t="shared" si="80"/>
        <v>149.45776539031985</v>
      </c>
    </row>
    <row r="218" spans="1:12" ht="12.75">
      <c r="A218" s="1">
        <f t="shared" si="72"/>
        <v>10.800000000000018</v>
      </c>
      <c r="B218" s="1">
        <f t="shared" si="70"/>
        <v>16</v>
      </c>
      <c r="C218" s="1">
        <f t="shared" si="71"/>
        <v>0</v>
      </c>
      <c r="D218" s="1">
        <f t="shared" si="73"/>
        <v>0</v>
      </c>
      <c r="E218" s="1" t="e">
        <f t="shared" si="74"/>
        <v>#DIV/0!</v>
      </c>
      <c r="F218" s="1">
        <f t="shared" si="75"/>
        <v>0</v>
      </c>
      <c r="G218" s="1">
        <f t="shared" si="76"/>
        <v>15.99193926312148</v>
      </c>
      <c r="H218" s="1">
        <f t="shared" si="77"/>
        <v>210.5308771934781</v>
      </c>
      <c r="I218" s="1">
        <f t="shared" si="77"/>
        <v>1351.117579528906</v>
      </c>
      <c r="J218" s="1">
        <f t="shared" si="78"/>
        <v>4.76087364419049</v>
      </c>
      <c r="K218" s="1">
        <f t="shared" si="79"/>
        <v>149.9270967179033</v>
      </c>
      <c r="L218" s="1">
        <f t="shared" si="80"/>
        <v>150.0026674700003</v>
      </c>
    </row>
    <row r="219" spans="1:12" ht="12.75">
      <c r="A219" s="1">
        <f t="shared" si="72"/>
        <v>10.85000000000002</v>
      </c>
      <c r="B219" s="1">
        <f t="shared" si="70"/>
        <v>16</v>
      </c>
      <c r="C219" s="1">
        <f t="shared" si="71"/>
        <v>0</v>
      </c>
      <c r="D219" s="1">
        <f t="shared" si="73"/>
        <v>0</v>
      </c>
      <c r="E219" s="1" t="e">
        <f t="shared" si="74"/>
        <v>#DIV/0!</v>
      </c>
      <c r="F219" s="1">
        <f t="shared" si="75"/>
        <v>0</v>
      </c>
      <c r="G219" s="1">
        <f t="shared" si="76"/>
        <v>15.991997523675371</v>
      </c>
      <c r="H219" s="1">
        <f t="shared" si="77"/>
        <v>210.8800079273854</v>
      </c>
      <c r="I219" s="1">
        <f t="shared" si="77"/>
        <v>1362.1522131363768</v>
      </c>
      <c r="J219" s="1">
        <f t="shared" si="78"/>
        <v>4.76087364419049</v>
      </c>
      <c r="K219" s="1">
        <f t="shared" si="79"/>
        <v>150.47227646550974</v>
      </c>
      <c r="L219" s="1">
        <f t="shared" si="80"/>
        <v>150.54757355257755</v>
      </c>
    </row>
    <row r="220" spans="1:12" ht="12.75">
      <c r="A220" s="1">
        <f t="shared" si="72"/>
        <v>10.90000000000002</v>
      </c>
      <c r="B220" s="1">
        <f t="shared" si="70"/>
        <v>16</v>
      </c>
      <c r="C220" s="1">
        <f t="shared" si="71"/>
        <v>0</v>
      </c>
      <c r="D220" s="1">
        <f t="shared" si="73"/>
        <v>0</v>
      </c>
      <c r="E220" s="1" t="e">
        <f t="shared" si="74"/>
        <v>#DIV/0!</v>
      </c>
      <c r="F220" s="1">
        <f t="shared" si="75"/>
        <v>0</v>
      </c>
      <c r="G220" s="1">
        <f t="shared" si="76"/>
        <v>15.992055155234564</v>
      </c>
      <c r="H220" s="1">
        <f t="shared" si="77"/>
        <v>211.22913866129272</v>
      </c>
      <c r="I220" s="1">
        <f t="shared" si="77"/>
        <v>1373.2268267376567</v>
      </c>
      <c r="J220" s="1">
        <f t="shared" si="78"/>
        <v>4.76087364419049</v>
      </c>
      <c r="K220" s="1">
        <f t="shared" si="79"/>
        <v>151.0174581992714</v>
      </c>
      <c r="L220" s="1">
        <f t="shared" si="80"/>
        <v>151.09248359473293</v>
      </c>
    </row>
    <row r="221" spans="1:12" ht="12.75">
      <c r="A221" s="1">
        <f t="shared" si="72"/>
        <v>10.95000000000002</v>
      </c>
      <c r="B221" s="1">
        <f t="shared" si="70"/>
        <v>16</v>
      </c>
      <c r="C221" s="1">
        <f t="shared" si="71"/>
        <v>0</v>
      </c>
      <c r="D221" s="1">
        <f t="shared" si="73"/>
        <v>0</v>
      </c>
      <c r="E221" s="1" t="e">
        <f t="shared" si="74"/>
        <v>#DIV/0!</v>
      </c>
      <c r="F221" s="1">
        <f t="shared" si="75"/>
        <v>0</v>
      </c>
      <c r="G221" s="1">
        <f t="shared" si="76"/>
        <v>15.992112166815755</v>
      </c>
      <c r="H221" s="1">
        <f t="shared" si="77"/>
        <v>211.57826939520004</v>
      </c>
      <c r="I221" s="1">
        <f t="shared" si="77"/>
        <v>1384.3414204768246</v>
      </c>
      <c r="J221" s="1">
        <f t="shared" si="78"/>
        <v>4.76087364419049</v>
      </c>
      <c r="K221" s="1">
        <f t="shared" si="79"/>
        <v>151.5626418977453</v>
      </c>
      <c r="L221" s="1">
        <f t="shared" si="80"/>
        <v>151.6373975537701</v>
      </c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 Pink Sounds,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brianbec</dc:creator>
  <cp:keywords/>
  <dc:description/>
  <cp:lastModifiedBy>brianbec</cp:lastModifiedBy>
  <dcterms:created xsi:type="dcterms:W3CDTF">2000-07-29T15:34:03Z</dcterms:created>
  <dcterms:modified xsi:type="dcterms:W3CDTF">2000-08-16T23:42:40Z</dcterms:modified>
  <cp:category/>
  <cp:version/>
  <cp:contentType/>
  <cp:contentStatus/>
</cp:coreProperties>
</file>